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640" activeTab="29"/>
  </bookViews>
  <sheets>
    <sheet name="01_07_1990 _Lire_" sheetId="1" r:id="rId1"/>
    <sheet name="01_10_1990 _Lire_" sheetId="2" r:id="rId2"/>
    <sheet name="01_01_1994_31_01_1994" sheetId="3" r:id="rId3"/>
    <sheet name="01_02_1994 _lire_" sheetId="4" r:id="rId4"/>
    <sheet name="01_02_1994 _euro_" sheetId="5" r:id="rId5"/>
    <sheet name="01_01_1995 _lire_" sheetId="6" r:id="rId6"/>
    <sheet name="01_01_1995 _euro_" sheetId="7" r:id="rId7"/>
    <sheet name="01_01_1996 _lire_" sheetId="8" r:id="rId8"/>
    <sheet name="01_01_1996 _euro_" sheetId="9" r:id="rId9"/>
    <sheet name="01_07_1996 _Lire_" sheetId="10" r:id="rId10"/>
    <sheet name="01_07_1996 _euro_" sheetId="11" r:id="rId11"/>
    <sheet name="01_11_1996 _lire_" sheetId="12" r:id="rId12"/>
    <sheet name="01_07_1997 _lire_" sheetId="13" r:id="rId13"/>
    <sheet name="01_07_1998 _lire_" sheetId="14" r:id="rId14"/>
    <sheet name="01_07_1999 _lire_" sheetId="15" r:id="rId15"/>
    <sheet name="01_02_2000 _Lire_" sheetId="16" r:id="rId16"/>
    <sheet name="01_02_2000 _Euro_" sheetId="17" r:id="rId17"/>
    <sheet name="01_07_2000 _Lire_" sheetId="18" r:id="rId18"/>
    <sheet name="01_07_2000 _Euro_" sheetId="19" r:id="rId19"/>
    <sheet name="01_07_2001 _Euro_" sheetId="20" r:id="rId20"/>
    <sheet name="01_07_2002 _Euro_" sheetId="21" r:id="rId21"/>
    <sheet name="01_02_2003" sheetId="22" r:id="rId22"/>
    <sheet name="01_07_2003" sheetId="23" r:id="rId23"/>
    <sheet name="01_07_2004" sheetId="24" r:id="rId24"/>
    <sheet name="01_07_2005" sheetId="25" r:id="rId25"/>
    <sheet name="01_07_2006" sheetId="26" r:id="rId26"/>
    <sheet name="01_07_2007" sheetId="27" r:id="rId27"/>
    <sheet name="01_07_2008" sheetId="28" r:id="rId28"/>
    <sheet name="01_07_2009" sheetId="29" r:id="rId29"/>
    <sheet name="01_04_2010" sheetId="30" r:id="rId30"/>
  </sheets>
  <definedNames>
    <definedName name="_xlnm.Print_Area" localSheetId="29">'01_04_2010'!$A$1:$U$34</definedName>
    <definedName name="_xlnm.Print_Area" localSheetId="28">'01_07_2009'!$A$1:$U$34</definedName>
  </definedNames>
  <calcPr calcId="145621"/>
</workbook>
</file>

<file path=xl/calcChain.xml><?xml version="1.0" encoding="utf-8"?>
<calcChain xmlns="http://schemas.openxmlformats.org/spreadsheetml/2006/main">
  <c r="J12" i="30" l="1"/>
  <c r="K12" i="30" s="1"/>
  <c r="K11" i="30"/>
  <c r="J11" i="30"/>
  <c r="F11" i="30"/>
  <c r="T10" i="30"/>
  <c r="S10" i="30"/>
  <c r="R10" i="30"/>
  <c r="P10" i="30"/>
  <c r="N10" i="30"/>
  <c r="L10" i="30"/>
  <c r="K10" i="30"/>
  <c r="J10" i="30"/>
  <c r="H10" i="30"/>
  <c r="F10" i="30"/>
  <c r="D10" i="30"/>
  <c r="B10" i="30"/>
  <c r="U9" i="30"/>
  <c r="S9" i="30"/>
  <c r="Q9" i="30"/>
  <c r="O9" i="30"/>
  <c r="M9" i="30"/>
  <c r="K9" i="30"/>
  <c r="I9" i="30"/>
  <c r="G9" i="30"/>
  <c r="E9" i="30"/>
  <c r="C9" i="30"/>
  <c r="T6" i="30"/>
  <c r="U6" i="30" s="1"/>
  <c r="D6" i="30"/>
  <c r="E6" i="30" s="1"/>
  <c r="H5" i="30"/>
  <c r="H6" i="30" s="1"/>
  <c r="I6" i="30" s="1"/>
  <c r="T4" i="30"/>
  <c r="T5" i="30" s="1"/>
  <c r="U5" i="30" s="1"/>
  <c r="R4" i="30"/>
  <c r="R5" i="30" s="1"/>
  <c r="R6" i="30" s="1"/>
  <c r="P4" i="30"/>
  <c r="Q4" i="30" s="1"/>
  <c r="N4" i="30"/>
  <c r="N5" i="30" s="1"/>
  <c r="N6" i="30" s="1"/>
  <c r="M4" i="30"/>
  <c r="L4" i="30"/>
  <c r="L5" i="30" s="1"/>
  <c r="M5" i="30" s="1"/>
  <c r="J4" i="30"/>
  <c r="J5" i="30" s="1"/>
  <c r="J6" i="30" s="1"/>
  <c r="I4" i="30"/>
  <c r="H4" i="30"/>
  <c r="F4" i="30"/>
  <c r="F5" i="30" s="1"/>
  <c r="F6" i="30" s="1"/>
  <c r="E4" i="30"/>
  <c r="D4" i="30"/>
  <c r="D5" i="30" s="1"/>
  <c r="E5" i="30" s="1"/>
  <c r="B4" i="30"/>
  <c r="B5" i="30" s="1"/>
  <c r="B6" i="30" s="1"/>
  <c r="U3" i="30"/>
  <c r="S3" i="30"/>
  <c r="Q3" i="30"/>
  <c r="O3" i="30"/>
  <c r="M3" i="30"/>
  <c r="K3" i="30"/>
  <c r="I3" i="30"/>
  <c r="G3" i="30"/>
  <c r="G6" i="30" s="1"/>
  <c r="E3" i="30"/>
  <c r="C3" i="30"/>
  <c r="R11" i="29"/>
  <c r="J11" i="29"/>
  <c r="B11" i="29"/>
  <c r="T10" i="29"/>
  <c r="R10" i="29"/>
  <c r="Q10" i="29"/>
  <c r="P10" i="29"/>
  <c r="N10" i="29"/>
  <c r="L10" i="29"/>
  <c r="J10" i="29"/>
  <c r="I10" i="29"/>
  <c r="H10" i="29"/>
  <c r="F10" i="29"/>
  <c r="D10" i="29"/>
  <c r="B10" i="29"/>
  <c r="U9" i="29"/>
  <c r="S9" i="29"/>
  <c r="Q9" i="29"/>
  <c r="O9" i="29"/>
  <c r="M9" i="29"/>
  <c r="K9" i="29"/>
  <c r="I9" i="29"/>
  <c r="G9" i="29"/>
  <c r="E9" i="29"/>
  <c r="C9" i="29"/>
  <c r="K6" i="29"/>
  <c r="T5" i="29"/>
  <c r="T6" i="29" s="1"/>
  <c r="K5" i="29"/>
  <c r="G5" i="29"/>
  <c r="D5" i="29"/>
  <c r="D6" i="29" s="1"/>
  <c r="T4" i="29"/>
  <c r="S4" i="29"/>
  <c r="R4" i="29"/>
  <c r="R5" i="29" s="1"/>
  <c r="R6" i="29" s="1"/>
  <c r="S6" i="29" s="1"/>
  <c r="P4" i="29"/>
  <c r="P5" i="29" s="1"/>
  <c r="P6" i="29" s="1"/>
  <c r="O4" i="29"/>
  <c r="N4" i="29"/>
  <c r="N5" i="29" s="1"/>
  <c r="N6" i="29" s="1"/>
  <c r="O6" i="29" s="1"/>
  <c r="L4" i="29"/>
  <c r="L5" i="29" s="1"/>
  <c r="L6" i="29" s="1"/>
  <c r="K4" i="29"/>
  <c r="J4" i="29"/>
  <c r="J5" i="29" s="1"/>
  <c r="J6" i="29" s="1"/>
  <c r="H4" i="29"/>
  <c r="H5" i="29" s="1"/>
  <c r="H6" i="29" s="1"/>
  <c r="G4" i="29"/>
  <c r="F4" i="29"/>
  <c r="F5" i="29" s="1"/>
  <c r="F6" i="29" s="1"/>
  <c r="G6" i="29" s="1"/>
  <c r="D4" i="29"/>
  <c r="C4" i="29"/>
  <c r="B4" i="29"/>
  <c r="B5" i="29" s="1"/>
  <c r="B6" i="29" s="1"/>
  <c r="C6" i="29" s="1"/>
  <c r="U3" i="29"/>
  <c r="S3" i="29"/>
  <c r="Q3" i="29"/>
  <c r="O3" i="29"/>
  <c r="M3" i="29"/>
  <c r="K3" i="29"/>
  <c r="I3" i="29"/>
  <c r="G3" i="29"/>
  <c r="E3" i="29"/>
  <c r="C3" i="29"/>
  <c r="P29" i="28"/>
  <c r="Q26" i="28"/>
  <c r="F12" i="28"/>
  <c r="G12" i="28" s="1"/>
  <c r="T11" i="28"/>
  <c r="T12" i="28" s="1"/>
  <c r="T13" i="28" s="1"/>
  <c r="T14" i="28" s="1"/>
  <c r="T15" i="28" s="1"/>
  <c r="T16" i="28" s="1"/>
  <c r="T17" i="28" s="1"/>
  <c r="T18" i="28" s="1"/>
  <c r="T19" i="28" s="1"/>
  <c r="T20" i="28" s="1"/>
  <c r="T21" i="28" s="1"/>
  <c r="T22" i="28" s="1"/>
  <c r="T23" i="28" s="1"/>
  <c r="T24" i="28" s="1"/>
  <c r="T25" i="28" s="1"/>
  <c r="T26" i="28" s="1"/>
  <c r="T27" i="28" s="1"/>
  <c r="T28" i="28" s="1"/>
  <c r="T29" i="28" s="1"/>
  <c r="T30" i="28" s="1"/>
  <c r="T31" i="28" s="1"/>
  <c r="T32" i="28" s="1"/>
  <c r="T33" i="28" s="1"/>
  <c r="T34" i="28" s="1"/>
  <c r="R11" i="28"/>
  <c r="R12" i="28" s="1"/>
  <c r="R13" i="28" s="1"/>
  <c r="R14" i="28" s="1"/>
  <c r="R15" i="28" s="1"/>
  <c r="R16" i="28" s="1"/>
  <c r="R17" i="28" s="1"/>
  <c r="R18" i="28" s="1"/>
  <c r="R19" i="28" s="1"/>
  <c r="R20" i="28" s="1"/>
  <c r="R21" i="28" s="1"/>
  <c r="R22" i="28" s="1"/>
  <c r="R23" i="28" s="1"/>
  <c r="R24" i="28" s="1"/>
  <c r="R25" i="28" s="1"/>
  <c r="R26" i="28" s="1"/>
  <c r="R27" i="28" s="1"/>
  <c r="R28" i="28" s="1"/>
  <c r="R29" i="28" s="1"/>
  <c r="R30" i="28" s="1"/>
  <c r="R31" i="28" s="1"/>
  <c r="R32" i="28" s="1"/>
  <c r="R33" i="28" s="1"/>
  <c r="R34" i="28" s="1"/>
  <c r="P11" i="28"/>
  <c r="P12" i="28" s="1"/>
  <c r="P13" i="28" s="1"/>
  <c r="P14" i="28" s="1"/>
  <c r="P15" i="28" s="1"/>
  <c r="P16" i="28" s="1"/>
  <c r="P17" i="28" s="1"/>
  <c r="P18" i="28" s="1"/>
  <c r="P19" i="28" s="1"/>
  <c r="P20" i="28" s="1"/>
  <c r="P21" i="28" s="1"/>
  <c r="P22" i="28" s="1"/>
  <c r="P23" i="28" s="1"/>
  <c r="P24" i="28" s="1"/>
  <c r="P25" i="28" s="1"/>
  <c r="P26" i="28" s="1"/>
  <c r="P27" i="28" s="1"/>
  <c r="P28" i="28" s="1"/>
  <c r="O11" i="28"/>
  <c r="N11" i="28"/>
  <c r="N12" i="28" s="1"/>
  <c r="L11" i="28"/>
  <c r="L12" i="28" s="1"/>
  <c r="L13" i="28" s="1"/>
  <c r="L14" i="28" s="1"/>
  <c r="L15" i="28" s="1"/>
  <c r="L16" i="28" s="1"/>
  <c r="L17" i="28" s="1"/>
  <c r="L18" i="28" s="1"/>
  <c r="L19" i="28" s="1"/>
  <c r="L20" i="28" s="1"/>
  <c r="L21" i="28" s="1"/>
  <c r="L22" i="28" s="1"/>
  <c r="L23" i="28" s="1"/>
  <c r="L24" i="28" s="1"/>
  <c r="L25" i="28" s="1"/>
  <c r="L26" i="28" s="1"/>
  <c r="L27" i="28" s="1"/>
  <c r="J11" i="28"/>
  <c r="J12" i="28" s="1"/>
  <c r="J13" i="28" s="1"/>
  <c r="J14" i="28" s="1"/>
  <c r="J15" i="28" s="1"/>
  <c r="J16" i="28" s="1"/>
  <c r="J17" i="28" s="1"/>
  <c r="J18" i="28" s="1"/>
  <c r="J19" i="28" s="1"/>
  <c r="J20" i="28" s="1"/>
  <c r="J21" i="28" s="1"/>
  <c r="J22" i="28" s="1"/>
  <c r="J23" i="28" s="1"/>
  <c r="J24" i="28" s="1"/>
  <c r="J25" i="28" s="1"/>
  <c r="J26" i="28" s="1"/>
  <c r="J27" i="28" s="1"/>
  <c r="J28" i="28" s="1"/>
  <c r="J29" i="28" s="1"/>
  <c r="J30" i="28" s="1"/>
  <c r="J31" i="28" s="1"/>
  <c r="J32" i="28" s="1"/>
  <c r="J33" i="28" s="1"/>
  <c r="J34" i="28" s="1"/>
  <c r="H11" i="28"/>
  <c r="I11" i="28" s="1"/>
  <c r="G11" i="28"/>
  <c r="F11" i="28"/>
  <c r="D11" i="28"/>
  <c r="D12" i="28" s="1"/>
  <c r="D13" i="28" s="1"/>
  <c r="D14" i="28" s="1"/>
  <c r="D15" i="28" s="1"/>
  <c r="D16" i="28" s="1"/>
  <c r="D17" i="28" s="1"/>
  <c r="D18" i="28" s="1"/>
  <c r="D19" i="28" s="1"/>
  <c r="D20" i="28" s="1"/>
  <c r="D21" i="28" s="1"/>
  <c r="D22" i="28" s="1"/>
  <c r="D23" i="28" s="1"/>
  <c r="D24" i="28" s="1"/>
  <c r="D25" i="28" s="1"/>
  <c r="D26" i="28" s="1"/>
  <c r="D27" i="28" s="1"/>
  <c r="D28" i="28" s="1"/>
  <c r="C11" i="28"/>
  <c r="B11" i="28"/>
  <c r="B12" i="28" s="1"/>
  <c r="B13" i="28" s="1"/>
  <c r="Q10" i="28"/>
  <c r="O10" i="28"/>
  <c r="I10" i="28"/>
  <c r="G10" i="28"/>
  <c r="U9" i="28"/>
  <c r="S9" i="28"/>
  <c r="S11" i="28" s="1"/>
  <c r="Q9" i="28"/>
  <c r="O9" i="28"/>
  <c r="M9" i="28"/>
  <c r="K9" i="28"/>
  <c r="K24" i="28" s="1"/>
  <c r="G9" i="28"/>
  <c r="E9" i="28"/>
  <c r="C9" i="28"/>
  <c r="U6" i="28"/>
  <c r="M6" i="28"/>
  <c r="J6" i="28"/>
  <c r="E6" i="28"/>
  <c r="B6" i="28"/>
  <c r="U5" i="28"/>
  <c r="T5" i="28"/>
  <c r="T6" i="28" s="1"/>
  <c r="R5" i="28"/>
  <c r="R6" i="28" s="1"/>
  <c r="P5" i="28"/>
  <c r="P6" i="28" s="1"/>
  <c r="N5" i="28"/>
  <c r="N6" i="28" s="1"/>
  <c r="M5" i="28"/>
  <c r="L5" i="28"/>
  <c r="L6" i="28" s="1"/>
  <c r="J5" i="28"/>
  <c r="H5" i="28"/>
  <c r="H6" i="28" s="1"/>
  <c r="F5" i="28"/>
  <c r="F6" i="28" s="1"/>
  <c r="E5" i="28"/>
  <c r="D5" i="28"/>
  <c r="D6" i="28" s="1"/>
  <c r="B5" i="28"/>
  <c r="U4" i="28"/>
  <c r="O4" i="28"/>
  <c r="M4" i="28"/>
  <c r="G4" i="28"/>
  <c r="E4" i="28"/>
  <c r="U3" i="28"/>
  <c r="S3" i="28"/>
  <c r="Q3" i="28"/>
  <c r="Q4" i="28" s="1"/>
  <c r="O3" i="28"/>
  <c r="M3" i="28"/>
  <c r="K3" i="28"/>
  <c r="I3" i="28"/>
  <c r="I4" i="28" s="1"/>
  <c r="G3" i="28"/>
  <c r="E3" i="28"/>
  <c r="C3" i="28"/>
  <c r="S14" i="27"/>
  <c r="R14" i="27"/>
  <c r="R15" i="27" s="1"/>
  <c r="R16" i="27" s="1"/>
  <c r="C14" i="27"/>
  <c r="B14" i="27"/>
  <c r="B15" i="27" s="1"/>
  <c r="B16" i="27" s="1"/>
  <c r="I13" i="27"/>
  <c r="H13" i="27"/>
  <c r="H14" i="27" s="1"/>
  <c r="H15" i="27" s="1"/>
  <c r="W12" i="27"/>
  <c r="V12" i="27"/>
  <c r="V13" i="27" s="1"/>
  <c r="V14" i="27" s="1"/>
  <c r="V15" i="27" s="1"/>
  <c r="V16" i="27" s="1"/>
  <c r="R12" i="27"/>
  <c r="R13" i="27" s="1"/>
  <c r="O12" i="27"/>
  <c r="N12" i="27"/>
  <c r="N13" i="27" s="1"/>
  <c r="N14" i="27" s="1"/>
  <c r="N15" i="27" s="1"/>
  <c r="N16" i="27" s="1"/>
  <c r="G12" i="27"/>
  <c r="F12" i="27"/>
  <c r="F13" i="27" s="1"/>
  <c r="F14" i="27" s="1"/>
  <c r="F15" i="27" s="1"/>
  <c r="F16" i="27" s="1"/>
  <c r="B12" i="27"/>
  <c r="B13" i="27" s="1"/>
  <c r="V11" i="27"/>
  <c r="T11" i="27"/>
  <c r="T12" i="27" s="1"/>
  <c r="T13" i="27" s="1"/>
  <c r="T14" i="27" s="1"/>
  <c r="T15" i="27" s="1"/>
  <c r="T16" i="27" s="1"/>
  <c r="T17" i="27" s="1"/>
  <c r="T18" i="27" s="1"/>
  <c r="T19" i="27" s="1"/>
  <c r="T20" i="27" s="1"/>
  <c r="T21" i="27" s="1"/>
  <c r="T22" i="27" s="1"/>
  <c r="T23" i="27" s="1"/>
  <c r="T24" i="27" s="1"/>
  <c r="T25" i="27" s="1"/>
  <c r="T26" i="27" s="1"/>
  <c r="T27" i="27" s="1"/>
  <c r="T28" i="27" s="1"/>
  <c r="T29" i="27" s="1"/>
  <c r="T30" i="27" s="1"/>
  <c r="T31" i="27" s="1"/>
  <c r="T32" i="27" s="1"/>
  <c r="T33" i="27" s="1"/>
  <c r="T34" i="27" s="1"/>
  <c r="R11" i="27"/>
  <c r="Q11" i="27"/>
  <c r="P11" i="27"/>
  <c r="P12" i="27" s="1"/>
  <c r="P13" i="27" s="1"/>
  <c r="N11" i="27"/>
  <c r="L11" i="27"/>
  <c r="L12" i="27" s="1"/>
  <c r="L13" i="27" s="1"/>
  <c r="L14" i="27" s="1"/>
  <c r="L15" i="27" s="1"/>
  <c r="L16" i="27" s="1"/>
  <c r="L17" i="27" s="1"/>
  <c r="L18" i="27" s="1"/>
  <c r="L19" i="27" s="1"/>
  <c r="L20" i="27" s="1"/>
  <c r="L21" i="27" s="1"/>
  <c r="L22" i="27" s="1"/>
  <c r="L23" i="27" s="1"/>
  <c r="L24" i="27" s="1"/>
  <c r="L25" i="27" s="1"/>
  <c r="L26" i="27" s="1"/>
  <c r="L27" i="27" s="1"/>
  <c r="L28" i="27" s="1"/>
  <c r="L29" i="27" s="1"/>
  <c r="L30" i="27" s="1"/>
  <c r="L31" i="27" s="1"/>
  <c r="L32" i="27" s="1"/>
  <c r="L33" i="27" s="1"/>
  <c r="L34" i="27" s="1"/>
  <c r="I11" i="27"/>
  <c r="H11" i="27"/>
  <c r="H12" i="27" s="1"/>
  <c r="F11" i="27"/>
  <c r="D11" i="27"/>
  <c r="D12" i="27" s="1"/>
  <c r="D13" i="27" s="1"/>
  <c r="D14" i="27" s="1"/>
  <c r="D15" i="27" s="1"/>
  <c r="D16" i="27" s="1"/>
  <c r="D17" i="27" s="1"/>
  <c r="D18" i="27" s="1"/>
  <c r="D19" i="27" s="1"/>
  <c r="D20" i="27" s="1"/>
  <c r="D21" i="27" s="1"/>
  <c r="D22" i="27" s="1"/>
  <c r="D23" i="27" s="1"/>
  <c r="D24" i="27" s="1"/>
  <c r="D25" i="27" s="1"/>
  <c r="D26" i="27" s="1"/>
  <c r="D27" i="27" s="1"/>
  <c r="D28" i="27" s="1"/>
  <c r="D29" i="27" s="1"/>
  <c r="D30" i="27" s="1"/>
  <c r="D31" i="27" s="1"/>
  <c r="D32" i="27" s="1"/>
  <c r="D33" i="27" s="1"/>
  <c r="D34" i="27" s="1"/>
  <c r="B11" i="27"/>
  <c r="O10" i="27"/>
  <c r="J10" i="27"/>
  <c r="J11" i="27" s="1"/>
  <c r="J12" i="27" s="1"/>
  <c r="I10" i="27"/>
  <c r="G10" i="27"/>
  <c r="C10" i="27"/>
  <c r="W9" i="27"/>
  <c r="U9" i="27"/>
  <c r="U27" i="27" s="1"/>
  <c r="S9" i="27"/>
  <c r="Q9" i="27"/>
  <c r="O9" i="27"/>
  <c r="M9" i="27"/>
  <c r="M25" i="27" s="1"/>
  <c r="K9" i="27"/>
  <c r="I9" i="27"/>
  <c r="G9" i="27"/>
  <c r="E9" i="27"/>
  <c r="E27" i="27" s="1"/>
  <c r="C9" i="27"/>
  <c r="V6" i="27"/>
  <c r="R6" i="27"/>
  <c r="N6" i="27"/>
  <c r="J6" i="27"/>
  <c r="F6" i="27"/>
  <c r="B6" i="27"/>
  <c r="W5" i="27"/>
  <c r="V5" i="27"/>
  <c r="T5" i="27"/>
  <c r="T6" i="27" s="1"/>
  <c r="S5" i="27"/>
  <c r="R5" i="27"/>
  <c r="P5" i="27"/>
  <c r="O5" i="27"/>
  <c r="N5" i="27"/>
  <c r="L5" i="27"/>
  <c r="L6" i="27" s="1"/>
  <c r="J5" i="27"/>
  <c r="H5" i="27"/>
  <c r="G5" i="27"/>
  <c r="F5" i="27"/>
  <c r="D5" i="27"/>
  <c r="D6" i="27" s="1"/>
  <c r="C5" i="27"/>
  <c r="B5" i="27"/>
  <c r="M4" i="27"/>
  <c r="K4" i="27"/>
  <c r="B4" i="27"/>
  <c r="W3" i="27"/>
  <c r="W6" i="27" s="1"/>
  <c r="U3" i="27"/>
  <c r="U5" i="27" s="1"/>
  <c r="S3" i="27"/>
  <c r="Q3" i="27"/>
  <c r="Q4" i="27" s="1"/>
  <c r="O3" i="27"/>
  <c r="O6" i="27" s="1"/>
  <c r="M3" i="27"/>
  <c r="M6" i="27" s="1"/>
  <c r="K3" i="27"/>
  <c r="I3" i="27"/>
  <c r="I4" i="27" s="1"/>
  <c r="G3" i="27"/>
  <c r="G6" i="27" s="1"/>
  <c r="E3" i="27"/>
  <c r="E5" i="27" s="1"/>
  <c r="C3" i="27"/>
  <c r="M34" i="26"/>
  <c r="E34" i="26"/>
  <c r="Q33" i="26"/>
  <c r="S32" i="26"/>
  <c r="Q32" i="26"/>
  <c r="K32" i="26"/>
  <c r="C32" i="26"/>
  <c r="S31" i="26"/>
  <c r="M31" i="26"/>
  <c r="K31" i="26"/>
  <c r="E31" i="26"/>
  <c r="C31" i="26"/>
  <c r="M30" i="26"/>
  <c r="E30" i="26"/>
  <c r="I29" i="26"/>
  <c r="S28" i="26"/>
  <c r="K28" i="26"/>
  <c r="I28" i="26"/>
  <c r="C28" i="26"/>
  <c r="S27" i="26"/>
  <c r="M27" i="26"/>
  <c r="K27" i="26"/>
  <c r="E27" i="26"/>
  <c r="C27" i="26"/>
  <c r="M26" i="26"/>
  <c r="E26" i="26"/>
  <c r="Q25" i="26"/>
  <c r="S24" i="26"/>
  <c r="Q24" i="26"/>
  <c r="K24" i="26"/>
  <c r="C24" i="26"/>
  <c r="S23" i="26"/>
  <c r="M23" i="26"/>
  <c r="K23" i="26"/>
  <c r="E23" i="26"/>
  <c r="C23" i="26"/>
  <c r="M22" i="26"/>
  <c r="E22" i="26"/>
  <c r="I21" i="26"/>
  <c r="S20" i="26"/>
  <c r="K20" i="26"/>
  <c r="I20" i="26"/>
  <c r="C20" i="26"/>
  <c r="S19" i="26"/>
  <c r="M19" i="26"/>
  <c r="K19" i="26"/>
  <c r="E19" i="26"/>
  <c r="C19" i="26"/>
  <c r="M18" i="26"/>
  <c r="E18" i="26"/>
  <c r="Q17" i="26"/>
  <c r="S16" i="26"/>
  <c r="Q16" i="26"/>
  <c r="K16" i="26"/>
  <c r="C16" i="26"/>
  <c r="S15" i="26"/>
  <c r="M15" i="26"/>
  <c r="K15" i="26"/>
  <c r="E15" i="26"/>
  <c r="C15" i="26"/>
  <c r="M14" i="26"/>
  <c r="E14" i="26"/>
  <c r="I13" i="26"/>
  <c r="S12" i="26"/>
  <c r="M12" i="26"/>
  <c r="K12" i="26"/>
  <c r="E12" i="26"/>
  <c r="C12" i="26"/>
  <c r="S11" i="26"/>
  <c r="M11" i="26"/>
  <c r="K11" i="26"/>
  <c r="E11" i="26"/>
  <c r="C11" i="26"/>
  <c r="M10" i="26"/>
  <c r="E10" i="26"/>
  <c r="S9" i="26"/>
  <c r="S34" i="26" s="1"/>
  <c r="Q9" i="26"/>
  <c r="O9" i="26"/>
  <c r="O33" i="26" s="1"/>
  <c r="M9" i="26"/>
  <c r="M33" i="26" s="1"/>
  <c r="K9" i="26"/>
  <c r="K34" i="26" s="1"/>
  <c r="I9" i="26"/>
  <c r="G9" i="26"/>
  <c r="G29" i="26" s="1"/>
  <c r="E9" i="26"/>
  <c r="E33" i="26" s="1"/>
  <c r="C9" i="26"/>
  <c r="C34" i="26" s="1"/>
  <c r="M6" i="26"/>
  <c r="E6" i="26"/>
  <c r="C6" i="26"/>
  <c r="M5" i="26"/>
  <c r="K5" i="26"/>
  <c r="E5" i="26"/>
  <c r="M4" i="26"/>
  <c r="E4" i="26"/>
  <c r="S3" i="26"/>
  <c r="S4" i="26" s="1"/>
  <c r="Q3" i="26"/>
  <c r="O3" i="26"/>
  <c r="O4" i="26" s="1"/>
  <c r="M3" i="26"/>
  <c r="K3" i="26"/>
  <c r="K4" i="26" s="1"/>
  <c r="I3" i="26"/>
  <c r="I6" i="26" s="1"/>
  <c r="G3" i="26"/>
  <c r="E3" i="26"/>
  <c r="C3" i="26"/>
  <c r="C4" i="26" s="1"/>
  <c r="S34" i="25"/>
  <c r="Q34" i="25"/>
  <c r="O34" i="25"/>
  <c r="M34" i="25"/>
  <c r="K34" i="25"/>
  <c r="I34" i="25"/>
  <c r="G34" i="25"/>
  <c r="E34" i="25"/>
  <c r="C34" i="25"/>
  <c r="S33" i="25"/>
  <c r="Q33" i="25"/>
  <c r="O33" i="25"/>
  <c r="M33" i="25"/>
  <c r="K33" i="25"/>
  <c r="I33" i="25"/>
  <c r="G33" i="25"/>
  <c r="E33" i="25"/>
  <c r="C33" i="25"/>
  <c r="S32" i="25"/>
  <c r="Q32" i="25"/>
  <c r="O32" i="25"/>
  <c r="M32" i="25"/>
  <c r="K32" i="25"/>
  <c r="I32" i="25"/>
  <c r="G32" i="25"/>
  <c r="E32" i="25"/>
  <c r="C32" i="25"/>
  <c r="S31" i="25"/>
  <c r="Q31" i="25"/>
  <c r="O31" i="25"/>
  <c r="M31" i="25"/>
  <c r="K31" i="25"/>
  <c r="I31" i="25"/>
  <c r="G31" i="25"/>
  <c r="E31" i="25"/>
  <c r="C31" i="25"/>
  <c r="S30" i="25"/>
  <c r="Q30" i="25"/>
  <c r="O30" i="25"/>
  <c r="M30" i="25"/>
  <c r="K30" i="25"/>
  <c r="I30" i="25"/>
  <c r="G30" i="25"/>
  <c r="E30" i="25"/>
  <c r="C30" i="25"/>
  <c r="S29" i="25"/>
  <c r="Q29" i="25"/>
  <c r="O29" i="25"/>
  <c r="M29" i="25"/>
  <c r="K29" i="25"/>
  <c r="I29" i="25"/>
  <c r="G29" i="25"/>
  <c r="E29" i="25"/>
  <c r="C29" i="25"/>
  <c r="S28" i="25"/>
  <c r="Q28" i="25"/>
  <c r="O28" i="25"/>
  <c r="M28" i="25"/>
  <c r="K28" i="25"/>
  <c r="I28" i="25"/>
  <c r="G28" i="25"/>
  <c r="E28" i="25"/>
  <c r="C28" i="25"/>
  <c r="S27" i="25"/>
  <c r="Q27" i="25"/>
  <c r="O27" i="25"/>
  <c r="M27" i="25"/>
  <c r="K27" i="25"/>
  <c r="I27" i="25"/>
  <c r="G27" i="25"/>
  <c r="E27" i="25"/>
  <c r="C27" i="25"/>
  <c r="S26" i="25"/>
  <c r="Q26" i="25"/>
  <c r="O26" i="25"/>
  <c r="M26" i="25"/>
  <c r="K26" i="25"/>
  <c r="I26" i="25"/>
  <c r="G26" i="25"/>
  <c r="E26" i="25"/>
  <c r="C26" i="25"/>
  <c r="S25" i="25"/>
  <c r="Q25" i="25"/>
  <c r="O25" i="25"/>
  <c r="M25" i="25"/>
  <c r="K25" i="25"/>
  <c r="I25" i="25"/>
  <c r="G25" i="25"/>
  <c r="E25" i="25"/>
  <c r="C25" i="25"/>
  <c r="S24" i="25"/>
  <c r="Q24" i="25"/>
  <c r="O24" i="25"/>
  <c r="M24" i="25"/>
  <c r="K24" i="25"/>
  <c r="I24" i="25"/>
  <c r="G24" i="25"/>
  <c r="E24" i="25"/>
  <c r="C24" i="25"/>
  <c r="S23" i="25"/>
  <c r="Q23" i="25"/>
  <c r="O23" i="25"/>
  <c r="M23" i="25"/>
  <c r="K23" i="25"/>
  <c r="I23" i="25"/>
  <c r="G23" i="25"/>
  <c r="E23" i="25"/>
  <c r="C23" i="25"/>
  <c r="S22" i="25"/>
  <c r="Q22" i="25"/>
  <c r="O22" i="25"/>
  <c r="M22" i="25"/>
  <c r="K22" i="25"/>
  <c r="I22" i="25"/>
  <c r="G22" i="25"/>
  <c r="E22" i="25"/>
  <c r="C22" i="25"/>
  <c r="S21" i="25"/>
  <c r="Q21" i="25"/>
  <c r="O21" i="25"/>
  <c r="M21" i="25"/>
  <c r="K21" i="25"/>
  <c r="I21" i="25"/>
  <c r="G21" i="25"/>
  <c r="E21" i="25"/>
  <c r="C21" i="25"/>
  <c r="S20" i="25"/>
  <c r="Q20" i="25"/>
  <c r="O20" i="25"/>
  <c r="M20" i="25"/>
  <c r="K20" i="25"/>
  <c r="I20" i="25"/>
  <c r="G20" i="25"/>
  <c r="E20" i="25"/>
  <c r="C20" i="25"/>
  <c r="S19" i="25"/>
  <c r="Q19" i="25"/>
  <c r="O19" i="25"/>
  <c r="M19" i="25"/>
  <c r="K19" i="25"/>
  <c r="I19" i="25"/>
  <c r="G19" i="25"/>
  <c r="E19" i="25"/>
  <c r="C19" i="25"/>
  <c r="S18" i="25"/>
  <c r="Q18" i="25"/>
  <c r="O18" i="25"/>
  <c r="M18" i="25"/>
  <c r="K18" i="25"/>
  <c r="I18" i="25"/>
  <c r="G18" i="25"/>
  <c r="E18" i="25"/>
  <c r="C18" i="25"/>
  <c r="S17" i="25"/>
  <c r="Q17" i="25"/>
  <c r="O17" i="25"/>
  <c r="M17" i="25"/>
  <c r="K17" i="25"/>
  <c r="I17" i="25"/>
  <c r="G17" i="25"/>
  <c r="E17" i="25"/>
  <c r="C17" i="25"/>
  <c r="S16" i="25"/>
  <c r="Q16" i="25"/>
  <c r="O16" i="25"/>
  <c r="M16" i="25"/>
  <c r="K16" i="25"/>
  <c r="I16" i="25"/>
  <c r="G16" i="25"/>
  <c r="E16" i="25"/>
  <c r="C16" i="25"/>
  <c r="S15" i="25"/>
  <c r="Q15" i="25"/>
  <c r="O15" i="25"/>
  <c r="M15" i="25"/>
  <c r="K15" i="25"/>
  <c r="I15" i="25"/>
  <c r="G15" i="25"/>
  <c r="E15" i="25"/>
  <c r="C15" i="25"/>
  <c r="S14" i="25"/>
  <c r="Q14" i="25"/>
  <c r="O14" i="25"/>
  <c r="M14" i="25"/>
  <c r="K14" i="25"/>
  <c r="I14" i="25"/>
  <c r="G14" i="25"/>
  <c r="E14" i="25"/>
  <c r="C14" i="25"/>
  <c r="S13" i="25"/>
  <c r="Q13" i="25"/>
  <c r="O13" i="25"/>
  <c r="M13" i="25"/>
  <c r="K13" i="25"/>
  <c r="I13" i="25"/>
  <c r="G13" i="25"/>
  <c r="E13" i="25"/>
  <c r="C13" i="25"/>
  <c r="S12" i="25"/>
  <c r="Q12" i="25"/>
  <c r="O12" i="25"/>
  <c r="M12" i="25"/>
  <c r="K12" i="25"/>
  <c r="I12" i="25"/>
  <c r="G12" i="25"/>
  <c r="E12" i="25"/>
  <c r="C12" i="25"/>
  <c r="S11" i="25"/>
  <c r="Q11" i="25"/>
  <c r="O11" i="25"/>
  <c r="M11" i="25"/>
  <c r="K11" i="25"/>
  <c r="I11" i="25"/>
  <c r="G11" i="25"/>
  <c r="E11" i="25"/>
  <c r="C11" i="25"/>
  <c r="S10" i="25"/>
  <c r="Q10" i="25"/>
  <c r="O10" i="25"/>
  <c r="M10" i="25"/>
  <c r="K10" i="25"/>
  <c r="I10" i="25"/>
  <c r="G10" i="25"/>
  <c r="E10" i="25"/>
  <c r="C10" i="25"/>
  <c r="S9" i="25"/>
  <c r="Q9" i="25"/>
  <c r="O9" i="25"/>
  <c r="M9" i="25"/>
  <c r="K9" i="25"/>
  <c r="I9" i="25"/>
  <c r="G9" i="25"/>
  <c r="E9" i="25"/>
  <c r="C9" i="25"/>
  <c r="S6" i="25"/>
  <c r="Q6" i="25"/>
  <c r="O6" i="25"/>
  <c r="M6" i="25"/>
  <c r="K6" i="25"/>
  <c r="I6" i="25"/>
  <c r="G6" i="25"/>
  <c r="E6" i="25"/>
  <c r="C6" i="25"/>
  <c r="S5" i="25"/>
  <c r="Q5" i="25"/>
  <c r="O5" i="25"/>
  <c r="M5" i="25"/>
  <c r="K5" i="25"/>
  <c r="I5" i="25"/>
  <c r="G5" i="25"/>
  <c r="E5" i="25"/>
  <c r="C5" i="25"/>
  <c r="S4" i="25"/>
  <c r="Q4" i="25"/>
  <c r="O4" i="25"/>
  <c r="M4" i="25"/>
  <c r="K4" i="25"/>
  <c r="I4" i="25"/>
  <c r="G4" i="25"/>
  <c r="E4" i="25"/>
  <c r="C4" i="25"/>
  <c r="S3" i="25"/>
  <c r="Q3" i="25"/>
  <c r="O3" i="25"/>
  <c r="M3" i="25"/>
  <c r="K3" i="25"/>
  <c r="I3" i="25"/>
  <c r="G3" i="25"/>
  <c r="E3" i="25"/>
  <c r="C3" i="25"/>
  <c r="E34" i="24"/>
  <c r="D34" i="24"/>
  <c r="J33" i="24"/>
  <c r="E33" i="24"/>
  <c r="J32" i="24"/>
  <c r="H32" i="24"/>
  <c r="G32" i="24"/>
  <c r="E32" i="24"/>
  <c r="E31" i="24"/>
  <c r="J30" i="24"/>
  <c r="I30" i="24"/>
  <c r="H30" i="24"/>
  <c r="G30" i="24"/>
  <c r="F30" i="24"/>
  <c r="D30" i="24"/>
  <c r="C30" i="24"/>
  <c r="C29" i="24"/>
  <c r="D28" i="24"/>
  <c r="J27" i="24"/>
  <c r="F27" i="24"/>
  <c r="J26" i="24"/>
  <c r="I26" i="24"/>
  <c r="D26" i="24"/>
  <c r="I25" i="24"/>
  <c r="J24" i="24"/>
  <c r="F24" i="24"/>
  <c r="B24" i="24"/>
  <c r="J23" i="24"/>
  <c r="H23" i="24"/>
  <c r="E22" i="24"/>
  <c r="J21" i="24"/>
  <c r="I21" i="24"/>
  <c r="H21" i="24"/>
  <c r="G21" i="24"/>
  <c r="F21" i="24"/>
  <c r="E21" i="24"/>
  <c r="D21" i="24"/>
  <c r="B21" i="24"/>
  <c r="J20" i="24"/>
  <c r="E20" i="24"/>
  <c r="G19" i="24"/>
  <c r="E19" i="24"/>
  <c r="D19" i="24"/>
  <c r="C19" i="24"/>
  <c r="J18" i="24"/>
  <c r="E18" i="24"/>
  <c r="C18" i="24"/>
  <c r="J17" i="24"/>
  <c r="I17" i="24"/>
  <c r="G17" i="24"/>
  <c r="E17" i="24"/>
  <c r="D17" i="24"/>
  <c r="C17" i="24"/>
  <c r="I16" i="24"/>
  <c r="H16" i="24"/>
  <c r="C16" i="24"/>
  <c r="B16" i="24"/>
  <c r="J15" i="24"/>
  <c r="G15" i="24"/>
  <c r="F15" i="24"/>
  <c r="D15" i="24"/>
  <c r="J14" i="24"/>
  <c r="H14" i="24"/>
  <c r="F14" i="24"/>
  <c r="B14" i="24"/>
  <c r="I13" i="24"/>
  <c r="G13" i="24"/>
  <c r="D13" i="24"/>
  <c r="B13" i="24"/>
  <c r="J12" i="24"/>
  <c r="I12" i="24"/>
  <c r="H12" i="24"/>
  <c r="F12" i="24"/>
  <c r="J11" i="24"/>
  <c r="G11" i="24"/>
  <c r="B11" i="24"/>
  <c r="H10" i="24"/>
  <c r="E10" i="24"/>
  <c r="J6" i="24"/>
  <c r="I6" i="24"/>
  <c r="H6" i="24"/>
  <c r="G6" i="24"/>
  <c r="F6" i="24"/>
  <c r="D6" i="24"/>
  <c r="C6" i="24"/>
  <c r="B6" i="24"/>
  <c r="I5" i="24"/>
  <c r="H5" i="24"/>
  <c r="G5" i="24"/>
  <c r="F5" i="24"/>
  <c r="D5" i="24"/>
  <c r="C5" i="24"/>
  <c r="B5" i="24"/>
  <c r="J4" i="24"/>
  <c r="I4" i="24"/>
  <c r="H4" i="24"/>
  <c r="G4" i="24"/>
  <c r="F4" i="24"/>
  <c r="E4" i="24"/>
  <c r="D4" i="24"/>
  <c r="C4" i="24"/>
  <c r="B4" i="24"/>
  <c r="J34" i="23"/>
  <c r="J33" i="23"/>
  <c r="J32" i="23"/>
  <c r="J31" i="23"/>
  <c r="H31" i="23"/>
  <c r="J30" i="23"/>
  <c r="J29" i="23"/>
  <c r="J28" i="23"/>
  <c r="J27" i="23"/>
  <c r="J26" i="23"/>
  <c r="G26" i="23"/>
  <c r="B26" i="23"/>
  <c r="J25" i="23"/>
  <c r="J24" i="23"/>
  <c r="F24" i="23"/>
  <c r="B24" i="23"/>
  <c r="J23" i="23"/>
  <c r="J22" i="23"/>
  <c r="J21" i="23"/>
  <c r="G21" i="23"/>
  <c r="D21" i="23"/>
  <c r="J20" i="23"/>
  <c r="J19" i="23"/>
  <c r="J18" i="23"/>
  <c r="G18" i="23"/>
  <c r="J17" i="23"/>
  <c r="G17" i="23"/>
  <c r="J16" i="23"/>
  <c r="J15" i="23"/>
  <c r="H15" i="23"/>
  <c r="C15" i="23"/>
  <c r="J14" i="23"/>
  <c r="G14" i="23"/>
  <c r="F14" i="23"/>
  <c r="C14" i="23"/>
  <c r="J13" i="23"/>
  <c r="I13" i="23"/>
  <c r="J12" i="23"/>
  <c r="H12" i="23"/>
  <c r="G12" i="23"/>
  <c r="F12" i="23"/>
  <c r="C12" i="23"/>
  <c r="J11" i="23"/>
  <c r="H11" i="23"/>
  <c r="C11" i="23"/>
  <c r="J10" i="23"/>
  <c r="H6" i="23"/>
  <c r="G6" i="23"/>
  <c r="E6" i="23"/>
  <c r="C6" i="23"/>
  <c r="H5" i="23"/>
  <c r="G5" i="23"/>
  <c r="H4" i="23"/>
  <c r="G4" i="23"/>
  <c r="C4" i="23"/>
  <c r="G33" i="22"/>
  <c r="G32" i="22"/>
  <c r="H31" i="22"/>
  <c r="D31" i="22"/>
  <c r="G30" i="22"/>
  <c r="G29" i="22"/>
  <c r="G26" i="22"/>
  <c r="E26" i="22"/>
  <c r="B26" i="22"/>
  <c r="F25" i="22"/>
  <c r="B25" i="22"/>
  <c r="G24" i="22"/>
  <c r="F24" i="22"/>
  <c r="B24" i="22"/>
  <c r="F23" i="22"/>
  <c r="E22" i="22"/>
  <c r="H21" i="22"/>
  <c r="G21" i="22"/>
  <c r="F21" i="22"/>
  <c r="D21" i="22"/>
  <c r="G20" i="22"/>
  <c r="G18" i="22"/>
  <c r="E18" i="22"/>
  <c r="D18" i="22"/>
  <c r="J17" i="22"/>
  <c r="G17" i="22"/>
  <c r="J16" i="22"/>
  <c r="J15" i="22"/>
  <c r="I15" i="22"/>
  <c r="H15" i="22"/>
  <c r="C15" i="22"/>
  <c r="J14" i="22"/>
  <c r="G14" i="22"/>
  <c r="F14" i="22"/>
  <c r="C14" i="22"/>
  <c r="J13" i="22"/>
  <c r="I13" i="22"/>
  <c r="F13" i="22"/>
  <c r="J12" i="22"/>
  <c r="H12" i="22"/>
  <c r="G12" i="22"/>
  <c r="F12" i="22"/>
  <c r="E12" i="22"/>
  <c r="C12" i="22"/>
  <c r="J11" i="22"/>
  <c r="H11" i="22"/>
  <c r="C11" i="22"/>
  <c r="J10" i="22"/>
  <c r="J6" i="22"/>
  <c r="I6" i="22"/>
  <c r="H6" i="22"/>
  <c r="G6" i="22"/>
  <c r="E6" i="22"/>
  <c r="C6" i="22"/>
  <c r="I5" i="22"/>
  <c r="H5" i="22"/>
  <c r="G5" i="22"/>
  <c r="J4" i="22"/>
  <c r="I4" i="22"/>
  <c r="H4" i="22"/>
  <c r="G4" i="22"/>
  <c r="C4" i="22"/>
  <c r="J34" i="21"/>
  <c r="H34" i="21"/>
  <c r="D34" i="21"/>
  <c r="H33" i="21"/>
  <c r="G33" i="21"/>
  <c r="F33" i="21"/>
  <c r="H32" i="21"/>
  <c r="G32" i="21"/>
  <c r="F32" i="21"/>
  <c r="E32" i="21"/>
  <c r="D32" i="21"/>
  <c r="H31" i="21"/>
  <c r="F31" i="21"/>
  <c r="D31" i="21"/>
  <c r="H30" i="21"/>
  <c r="G30" i="21"/>
  <c r="F30" i="21"/>
  <c r="H29" i="21"/>
  <c r="G29" i="21"/>
  <c r="E29" i="21"/>
  <c r="D29" i="21"/>
  <c r="H28" i="21"/>
  <c r="F28" i="21"/>
  <c r="E28" i="21"/>
  <c r="D28" i="21"/>
  <c r="H27" i="21"/>
  <c r="G27" i="21"/>
  <c r="H26" i="21"/>
  <c r="G26" i="21"/>
  <c r="F26" i="21"/>
  <c r="E26" i="21"/>
  <c r="D26" i="21"/>
  <c r="B26" i="21"/>
  <c r="H25" i="21"/>
  <c r="F25" i="21"/>
  <c r="E25" i="21"/>
  <c r="D25" i="21"/>
  <c r="B25" i="21"/>
  <c r="H24" i="21"/>
  <c r="G24" i="21"/>
  <c r="F24" i="21"/>
  <c r="B24" i="21"/>
  <c r="H23" i="21"/>
  <c r="G23" i="21"/>
  <c r="F23" i="21"/>
  <c r="D23" i="21"/>
  <c r="B23" i="21"/>
  <c r="H22" i="21"/>
  <c r="E22" i="21"/>
  <c r="D22" i="21"/>
  <c r="B22" i="21"/>
  <c r="H21" i="21"/>
  <c r="G21" i="21"/>
  <c r="F21" i="21"/>
  <c r="D21" i="21"/>
  <c r="B21" i="21"/>
  <c r="H20" i="21"/>
  <c r="G20" i="21"/>
  <c r="F20" i="21"/>
  <c r="B20" i="21"/>
  <c r="J19" i="21"/>
  <c r="H19" i="21"/>
  <c r="F19" i="21"/>
  <c r="E19" i="21"/>
  <c r="D19" i="21"/>
  <c r="B19" i="21"/>
  <c r="J18" i="21"/>
  <c r="H18" i="21"/>
  <c r="G18" i="21"/>
  <c r="F18" i="21"/>
  <c r="E18" i="21"/>
  <c r="D18" i="21"/>
  <c r="J17" i="21"/>
  <c r="H17" i="21"/>
  <c r="G17" i="21"/>
  <c r="F17" i="21"/>
  <c r="J16" i="21"/>
  <c r="H16" i="21"/>
  <c r="F16" i="21"/>
  <c r="E16" i="21"/>
  <c r="D16" i="21"/>
  <c r="J15" i="21"/>
  <c r="I15" i="21"/>
  <c r="H15" i="21"/>
  <c r="G15" i="21"/>
  <c r="E15" i="21"/>
  <c r="D15" i="21"/>
  <c r="C15" i="21"/>
  <c r="J14" i="21"/>
  <c r="H14" i="21"/>
  <c r="G14" i="21"/>
  <c r="F14" i="21"/>
  <c r="C14" i="21"/>
  <c r="J13" i="21"/>
  <c r="I13" i="21"/>
  <c r="H13" i="21"/>
  <c r="F13" i="21"/>
  <c r="D13" i="21"/>
  <c r="C13" i="21"/>
  <c r="J12" i="21"/>
  <c r="H12" i="21"/>
  <c r="G12" i="21"/>
  <c r="F12" i="21"/>
  <c r="E12" i="21"/>
  <c r="D12" i="21"/>
  <c r="C12" i="21"/>
  <c r="J11" i="21"/>
  <c r="I11" i="21"/>
  <c r="H11" i="21"/>
  <c r="G11" i="21"/>
  <c r="F11" i="21"/>
  <c r="E11" i="21"/>
  <c r="C11" i="21"/>
  <c r="J10" i="21"/>
  <c r="H10" i="21"/>
  <c r="F10" i="21"/>
  <c r="D10" i="21"/>
  <c r="C10" i="21"/>
  <c r="B10" i="21"/>
  <c r="J6" i="21"/>
  <c r="I6" i="21"/>
  <c r="H6" i="21"/>
  <c r="G6" i="21"/>
  <c r="E6" i="21"/>
  <c r="C6" i="21"/>
  <c r="B6" i="21"/>
  <c r="I5" i="21"/>
  <c r="H5" i="21"/>
  <c r="G5" i="21"/>
  <c r="E5" i="21"/>
  <c r="B5" i="21"/>
  <c r="J4" i="21"/>
  <c r="I4" i="21"/>
  <c r="H4" i="21"/>
  <c r="G4" i="21"/>
  <c r="C4" i="21"/>
  <c r="G34" i="20"/>
  <c r="F34" i="20"/>
  <c r="D34" i="20"/>
  <c r="B34" i="20"/>
  <c r="G33" i="20"/>
  <c r="E33" i="20"/>
  <c r="D33" i="20"/>
  <c r="C33" i="20"/>
  <c r="B33" i="20"/>
  <c r="I32" i="20"/>
  <c r="G32" i="20"/>
  <c r="E32" i="20"/>
  <c r="D32" i="20"/>
  <c r="C32" i="20"/>
  <c r="B32" i="20"/>
  <c r="G31" i="20"/>
  <c r="D31" i="20"/>
  <c r="C31" i="20"/>
  <c r="B31" i="20"/>
  <c r="I30" i="20"/>
  <c r="G30" i="20"/>
  <c r="F30" i="20"/>
  <c r="D30" i="20"/>
  <c r="C30" i="20"/>
  <c r="B30" i="20"/>
  <c r="G29" i="20"/>
  <c r="D29" i="20"/>
  <c r="C29" i="20"/>
  <c r="B29" i="20"/>
  <c r="G28" i="20"/>
  <c r="D28" i="20"/>
  <c r="C28" i="20"/>
  <c r="B28" i="20"/>
  <c r="G27" i="20"/>
  <c r="F27" i="20"/>
  <c r="D27" i="20"/>
  <c r="C27" i="20"/>
  <c r="B27" i="20"/>
  <c r="H26" i="20"/>
  <c r="G26" i="20"/>
  <c r="D26" i="20"/>
  <c r="C26" i="20"/>
  <c r="B26" i="20"/>
  <c r="J25" i="20"/>
  <c r="H25" i="20"/>
  <c r="G25" i="20"/>
  <c r="E25" i="20"/>
  <c r="D25" i="20"/>
  <c r="B25" i="20"/>
  <c r="J24" i="20"/>
  <c r="H24" i="20"/>
  <c r="G24" i="20"/>
  <c r="F24" i="20"/>
  <c r="E24" i="20"/>
  <c r="J23" i="20"/>
  <c r="H23" i="20"/>
  <c r="G23" i="20"/>
  <c r="F23" i="20"/>
  <c r="E23" i="20"/>
  <c r="J22" i="20"/>
  <c r="H22" i="20"/>
  <c r="G22" i="20"/>
  <c r="J21" i="20"/>
  <c r="I21" i="20"/>
  <c r="H21" i="20"/>
  <c r="G21" i="20"/>
  <c r="D21" i="20"/>
  <c r="B21" i="20"/>
  <c r="J20" i="20"/>
  <c r="H20" i="20"/>
  <c r="G20" i="20"/>
  <c r="F20" i="20"/>
  <c r="D20" i="20"/>
  <c r="B20" i="20"/>
  <c r="J19" i="20"/>
  <c r="I19" i="20"/>
  <c r="G19" i="20"/>
  <c r="D19" i="20"/>
  <c r="B19" i="20"/>
  <c r="J18" i="20"/>
  <c r="G18" i="20"/>
  <c r="D18" i="20"/>
  <c r="B18" i="20"/>
  <c r="J17" i="20"/>
  <c r="I17" i="20"/>
  <c r="G17" i="20"/>
  <c r="F17" i="20"/>
  <c r="E17" i="20"/>
  <c r="D17" i="20"/>
  <c r="C17" i="20"/>
  <c r="B17" i="20"/>
  <c r="J16" i="20"/>
  <c r="G16" i="20"/>
  <c r="F16" i="20"/>
  <c r="E16" i="20"/>
  <c r="D16" i="20"/>
  <c r="C16" i="20"/>
  <c r="B16" i="20"/>
  <c r="J15" i="20"/>
  <c r="I15" i="20"/>
  <c r="G15" i="20"/>
  <c r="E15" i="20"/>
  <c r="D15" i="20"/>
  <c r="C15" i="20"/>
  <c r="B15" i="20"/>
  <c r="J14" i="20"/>
  <c r="G14" i="20"/>
  <c r="F14" i="20"/>
  <c r="E14" i="20"/>
  <c r="D14" i="20"/>
  <c r="C14" i="20"/>
  <c r="B14" i="20"/>
  <c r="J13" i="20"/>
  <c r="I13" i="20"/>
  <c r="G13" i="20"/>
  <c r="F13" i="20"/>
  <c r="D13" i="20"/>
  <c r="C13" i="20"/>
  <c r="B13" i="20"/>
  <c r="J12" i="20"/>
  <c r="G12" i="20"/>
  <c r="D12" i="20"/>
  <c r="C12" i="20"/>
  <c r="B12" i="20"/>
  <c r="J11" i="20"/>
  <c r="I11" i="20"/>
  <c r="G11" i="20"/>
  <c r="D11" i="20"/>
  <c r="C11" i="20"/>
  <c r="B11" i="20"/>
  <c r="J10" i="20"/>
  <c r="H10" i="20"/>
  <c r="G10" i="20"/>
  <c r="F10" i="20"/>
  <c r="D10" i="20"/>
  <c r="C10" i="20"/>
  <c r="B10" i="20"/>
  <c r="I6" i="20"/>
  <c r="H6" i="20"/>
  <c r="F6" i="20"/>
  <c r="D6" i="20"/>
  <c r="C6" i="20"/>
  <c r="I5" i="20"/>
  <c r="H5" i="20"/>
  <c r="F5" i="20"/>
  <c r="E5" i="20"/>
  <c r="D5" i="20"/>
  <c r="I4" i="20"/>
  <c r="G4" i="20"/>
  <c r="F4" i="20"/>
  <c r="C4" i="20"/>
  <c r="B4" i="20"/>
  <c r="J34" i="19"/>
  <c r="I34" i="19"/>
  <c r="H34" i="19"/>
  <c r="G34" i="19"/>
  <c r="F34" i="19"/>
  <c r="E34" i="19"/>
  <c r="D34" i="19"/>
  <c r="C34" i="19"/>
  <c r="B34" i="19"/>
  <c r="J33" i="19"/>
  <c r="I33" i="19"/>
  <c r="H33" i="19"/>
  <c r="G33" i="19"/>
  <c r="F33" i="19"/>
  <c r="E33" i="19"/>
  <c r="D33" i="19"/>
  <c r="C33" i="19"/>
  <c r="B33" i="19"/>
  <c r="J32" i="19"/>
  <c r="I32" i="19"/>
  <c r="H32" i="19"/>
  <c r="G32" i="19"/>
  <c r="F32" i="19"/>
  <c r="E32" i="19"/>
  <c r="D32" i="19"/>
  <c r="C32" i="19"/>
  <c r="B32" i="19"/>
  <c r="J31" i="19"/>
  <c r="I31" i="19"/>
  <c r="H31" i="19"/>
  <c r="G31" i="19"/>
  <c r="F31" i="19"/>
  <c r="E31" i="19"/>
  <c r="D31" i="19"/>
  <c r="C31" i="19"/>
  <c r="B31" i="19"/>
  <c r="J30" i="19"/>
  <c r="I30" i="19"/>
  <c r="H30" i="19"/>
  <c r="G30" i="19"/>
  <c r="F30" i="19"/>
  <c r="E30" i="19"/>
  <c r="D30" i="19"/>
  <c r="C30" i="19"/>
  <c r="B30" i="19"/>
  <c r="J29" i="19"/>
  <c r="I29" i="19"/>
  <c r="H29" i="19"/>
  <c r="G29" i="19"/>
  <c r="F29" i="19"/>
  <c r="E29" i="19"/>
  <c r="D29" i="19"/>
  <c r="C29" i="19"/>
  <c r="B29" i="19"/>
  <c r="J28" i="19"/>
  <c r="I28" i="19"/>
  <c r="H28" i="19"/>
  <c r="G28" i="19"/>
  <c r="F28" i="19"/>
  <c r="E28" i="19"/>
  <c r="D28" i="19"/>
  <c r="C28" i="19"/>
  <c r="B28" i="19"/>
  <c r="J27" i="19"/>
  <c r="I27" i="19"/>
  <c r="H27" i="19"/>
  <c r="G27" i="19"/>
  <c r="F27" i="19"/>
  <c r="E27" i="19"/>
  <c r="D27" i="19"/>
  <c r="C27" i="19"/>
  <c r="B27" i="19"/>
  <c r="J26" i="19"/>
  <c r="I26" i="19"/>
  <c r="H26" i="19"/>
  <c r="G26" i="19"/>
  <c r="F26" i="19"/>
  <c r="E26" i="19"/>
  <c r="D26" i="19"/>
  <c r="C26" i="19"/>
  <c r="B26" i="19"/>
  <c r="J25" i="19"/>
  <c r="I25" i="19"/>
  <c r="H25" i="19"/>
  <c r="G25" i="19"/>
  <c r="F25" i="19"/>
  <c r="E25" i="19"/>
  <c r="D25" i="19"/>
  <c r="C25" i="19"/>
  <c r="B25" i="19"/>
  <c r="J24" i="19"/>
  <c r="I24" i="19"/>
  <c r="H24" i="19"/>
  <c r="G24" i="19"/>
  <c r="F24" i="19"/>
  <c r="E24" i="19"/>
  <c r="D24" i="19"/>
  <c r="C24" i="19"/>
  <c r="B24" i="19"/>
  <c r="J23" i="19"/>
  <c r="I23" i="19"/>
  <c r="H23" i="19"/>
  <c r="G23" i="19"/>
  <c r="F23" i="19"/>
  <c r="E23" i="19"/>
  <c r="D23" i="19"/>
  <c r="C23" i="19"/>
  <c r="B23" i="19"/>
  <c r="J22" i="19"/>
  <c r="I22" i="19"/>
  <c r="H22" i="19"/>
  <c r="G22" i="19"/>
  <c r="F22" i="19"/>
  <c r="E22" i="19"/>
  <c r="D22" i="19"/>
  <c r="C22" i="19"/>
  <c r="B22" i="19"/>
  <c r="J21" i="19"/>
  <c r="I21" i="19"/>
  <c r="H21" i="19"/>
  <c r="G21" i="19"/>
  <c r="F21" i="19"/>
  <c r="E21" i="19"/>
  <c r="D21" i="19"/>
  <c r="C21" i="19"/>
  <c r="B21" i="19"/>
  <c r="J20" i="19"/>
  <c r="I20" i="19"/>
  <c r="H20" i="19"/>
  <c r="G20" i="19"/>
  <c r="F20" i="19"/>
  <c r="E20" i="19"/>
  <c r="D20" i="19"/>
  <c r="C20" i="19"/>
  <c r="B20" i="19"/>
  <c r="J19" i="19"/>
  <c r="I19" i="19"/>
  <c r="H19" i="19"/>
  <c r="G19" i="19"/>
  <c r="F19" i="19"/>
  <c r="E19" i="19"/>
  <c r="D19" i="19"/>
  <c r="C19" i="19"/>
  <c r="B19" i="19"/>
  <c r="J18" i="19"/>
  <c r="I18" i="19"/>
  <c r="H18" i="19"/>
  <c r="G18" i="19"/>
  <c r="F18" i="19"/>
  <c r="E18" i="19"/>
  <c r="D18" i="19"/>
  <c r="C18" i="19"/>
  <c r="B18" i="19"/>
  <c r="J17" i="19"/>
  <c r="I17" i="19"/>
  <c r="H17" i="19"/>
  <c r="G17" i="19"/>
  <c r="F17" i="19"/>
  <c r="E17" i="19"/>
  <c r="D17" i="19"/>
  <c r="C17" i="19"/>
  <c r="B17" i="19"/>
  <c r="J16" i="19"/>
  <c r="I16" i="19"/>
  <c r="H16" i="19"/>
  <c r="G16" i="19"/>
  <c r="F16" i="19"/>
  <c r="E16" i="19"/>
  <c r="D16" i="19"/>
  <c r="C16" i="19"/>
  <c r="B16" i="19"/>
  <c r="J15" i="19"/>
  <c r="I15" i="19"/>
  <c r="H15" i="19"/>
  <c r="G15" i="19"/>
  <c r="F15" i="19"/>
  <c r="E15" i="19"/>
  <c r="D15" i="19"/>
  <c r="C15" i="19"/>
  <c r="B15" i="19"/>
  <c r="J14" i="19"/>
  <c r="I14" i="19"/>
  <c r="H14" i="19"/>
  <c r="G14" i="19"/>
  <c r="F14" i="19"/>
  <c r="E14" i="19"/>
  <c r="D14" i="19"/>
  <c r="C14" i="19"/>
  <c r="B14" i="19"/>
  <c r="J13" i="19"/>
  <c r="I13" i="19"/>
  <c r="H13" i="19"/>
  <c r="G13" i="19"/>
  <c r="F13" i="19"/>
  <c r="E13" i="19"/>
  <c r="D13" i="19"/>
  <c r="C13" i="19"/>
  <c r="B13" i="19"/>
  <c r="J12" i="19"/>
  <c r="I12" i="19"/>
  <c r="H12" i="19"/>
  <c r="G12" i="19"/>
  <c r="F12" i="19"/>
  <c r="E12" i="19"/>
  <c r="D12" i="19"/>
  <c r="C12" i="19"/>
  <c r="B12" i="19"/>
  <c r="J11" i="19"/>
  <c r="I11" i="19"/>
  <c r="H11" i="19"/>
  <c r="G11" i="19"/>
  <c r="F11" i="19"/>
  <c r="E11" i="19"/>
  <c r="D11" i="19"/>
  <c r="C11" i="19"/>
  <c r="B11" i="19"/>
  <c r="J10" i="19"/>
  <c r="I10" i="19"/>
  <c r="H10" i="19"/>
  <c r="G10" i="19"/>
  <c r="F10" i="19"/>
  <c r="E10" i="19"/>
  <c r="D10" i="19"/>
  <c r="C10" i="19"/>
  <c r="B10" i="19"/>
  <c r="J6" i="19"/>
  <c r="I6" i="19"/>
  <c r="H6" i="19"/>
  <c r="G6" i="19"/>
  <c r="F6" i="19"/>
  <c r="E6" i="19"/>
  <c r="D6" i="19"/>
  <c r="C6" i="19"/>
  <c r="B6" i="19"/>
  <c r="J5" i="19"/>
  <c r="I5" i="19"/>
  <c r="H5" i="19"/>
  <c r="G5" i="19"/>
  <c r="F5" i="19"/>
  <c r="E5" i="19"/>
  <c r="D5" i="19"/>
  <c r="C5" i="19"/>
  <c r="B5" i="19"/>
  <c r="J4" i="19"/>
  <c r="I4" i="19"/>
  <c r="H4" i="19"/>
  <c r="G4" i="19"/>
  <c r="F4" i="19"/>
  <c r="E4" i="19"/>
  <c r="D4" i="19"/>
  <c r="C4" i="19"/>
  <c r="B4" i="19"/>
  <c r="J34" i="17"/>
  <c r="J33" i="17"/>
  <c r="J32" i="17"/>
  <c r="J31" i="17"/>
  <c r="J30" i="17"/>
  <c r="J29" i="17"/>
  <c r="H29" i="17"/>
  <c r="D29" i="17"/>
  <c r="J28" i="17"/>
  <c r="I28" i="17"/>
  <c r="E28" i="17"/>
  <c r="J27" i="17"/>
  <c r="J26" i="17"/>
  <c r="J25" i="17"/>
  <c r="H25" i="17"/>
  <c r="D25" i="17"/>
  <c r="J24" i="17"/>
  <c r="I24" i="17"/>
  <c r="H24" i="17"/>
  <c r="E24" i="17"/>
  <c r="D24" i="17"/>
  <c r="J23" i="17"/>
  <c r="I23" i="17"/>
  <c r="E23" i="17"/>
  <c r="J22" i="17"/>
  <c r="J21" i="17"/>
  <c r="H21" i="17"/>
  <c r="D21" i="17"/>
  <c r="J20" i="17"/>
  <c r="I20" i="17"/>
  <c r="H20" i="17"/>
  <c r="E20" i="17"/>
  <c r="D20" i="17"/>
  <c r="J19" i="17"/>
  <c r="I19" i="17"/>
  <c r="E19" i="17"/>
  <c r="J18" i="17"/>
  <c r="J17" i="17"/>
  <c r="H17" i="17"/>
  <c r="D17" i="17"/>
  <c r="J16" i="17"/>
  <c r="I16" i="17"/>
  <c r="H16" i="17"/>
  <c r="E16" i="17"/>
  <c r="D16" i="17"/>
  <c r="J15" i="17"/>
  <c r="I15" i="17"/>
  <c r="E15" i="17"/>
  <c r="J14" i="17"/>
  <c r="J13" i="17"/>
  <c r="H13" i="17"/>
  <c r="D13" i="17"/>
  <c r="J12" i="17"/>
  <c r="I12" i="17"/>
  <c r="H12" i="17"/>
  <c r="E12" i="17"/>
  <c r="D12" i="17"/>
  <c r="J11" i="17"/>
  <c r="I11" i="17"/>
  <c r="F11" i="17"/>
  <c r="E11" i="17"/>
  <c r="B11" i="17"/>
  <c r="J10" i="17"/>
  <c r="I9" i="17"/>
  <c r="I32" i="17" s="1"/>
  <c r="H9" i="17"/>
  <c r="H33" i="17" s="1"/>
  <c r="G9" i="17"/>
  <c r="G34" i="17" s="1"/>
  <c r="F9" i="17"/>
  <c r="F31" i="17" s="1"/>
  <c r="E9" i="17"/>
  <c r="E32" i="17" s="1"/>
  <c r="D9" i="17"/>
  <c r="D33" i="17" s="1"/>
  <c r="C9" i="17"/>
  <c r="C34" i="17" s="1"/>
  <c r="B9" i="17"/>
  <c r="B31" i="17" s="1"/>
  <c r="H6" i="17"/>
  <c r="D6" i="17"/>
  <c r="I5" i="17"/>
  <c r="H5" i="17"/>
  <c r="E5" i="17"/>
  <c r="D5" i="17"/>
  <c r="J4" i="17"/>
  <c r="I4" i="17"/>
  <c r="F4" i="17"/>
  <c r="E4" i="17"/>
  <c r="B4" i="17"/>
  <c r="J3" i="17"/>
  <c r="J6" i="17" s="1"/>
  <c r="I3" i="17"/>
  <c r="I6" i="17" s="1"/>
  <c r="H3" i="17"/>
  <c r="H4" i="17" s="1"/>
  <c r="G3" i="17"/>
  <c r="G6" i="17" s="1"/>
  <c r="F3" i="17"/>
  <c r="F6" i="17" s="1"/>
  <c r="E3" i="17"/>
  <c r="E6" i="17" s="1"/>
  <c r="D3" i="17"/>
  <c r="D4" i="17" s="1"/>
  <c r="C3" i="17"/>
  <c r="C6" i="17" s="1"/>
  <c r="B3" i="17"/>
  <c r="B6" i="17" s="1"/>
  <c r="J34" i="15"/>
  <c r="I34" i="15"/>
  <c r="H34" i="15"/>
  <c r="G34" i="15"/>
  <c r="F34" i="15"/>
  <c r="E34" i="15"/>
  <c r="D34" i="15"/>
  <c r="C34" i="15"/>
  <c r="B34" i="15"/>
  <c r="J33" i="15"/>
  <c r="I33" i="15"/>
  <c r="H33" i="15"/>
  <c r="G33" i="15"/>
  <c r="F33" i="15"/>
  <c r="E33" i="15"/>
  <c r="D33" i="15"/>
  <c r="C33" i="15"/>
  <c r="B33" i="15"/>
  <c r="J32" i="15"/>
  <c r="I32" i="15"/>
  <c r="H32" i="15"/>
  <c r="G32" i="15"/>
  <c r="F32" i="15"/>
  <c r="E32" i="15"/>
  <c r="D32" i="15"/>
  <c r="C32" i="15"/>
  <c r="B32" i="15"/>
  <c r="J31" i="15"/>
  <c r="I31" i="15"/>
  <c r="H31" i="15"/>
  <c r="G31" i="15"/>
  <c r="F31" i="15"/>
  <c r="E31" i="15"/>
  <c r="D31" i="15"/>
  <c r="C31" i="15"/>
  <c r="B31" i="15"/>
  <c r="J30" i="15"/>
  <c r="I30" i="15"/>
  <c r="H30" i="15"/>
  <c r="G30" i="15"/>
  <c r="F30" i="15"/>
  <c r="E30" i="15"/>
  <c r="D30" i="15"/>
  <c r="C30" i="15"/>
  <c r="B30" i="15"/>
  <c r="J29" i="15"/>
  <c r="I29" i="15"/>
  <c r="H29" i="15"/>
  <c r="G29" i="15"/>
  <c r="F29" i="15"/>
  <c r="E29" i="15"/>
  <c r="D29" i="15"/>
  <c r="C29" i="15"/>
  <c r="B29" i="15"/>
  <c r="J28" i="15"/>
  <c r="I28" i="15"/>
  <c r="H28" i="15"/>
  <c r="G28" i="15"/>
  <c r="F28" i="15"/>
  <c r="E28" i="15"/>
  <c r="D28" i="15"/>
  <c r="C28" i="15"/>
  <c r="B28" i="15"/>
  <c r="J27" i="15"/>
  <c r="I27" i="15"/>
  <c r="H27" i="15"/>
  <c r="G27" i="15"/>
  <c r="F27" i="15"/>
  <c r="E27" i="15"/>
  <c r="D27" i="15"/>
  <c r="C27" i="15"/>
  <c r="B27" i="15"/>
  <c r="J26" i="15"/>
  <c r="I26" i="15"/>
  <c r="H26" i="15"/>
  <c r="G26" i="15"/>
  <c r="F26" i="15"/>
  <c r="E26" i="15"/>
  <c r="D26" i="15"/>
  <c r="C26" i="15"/>
  <c r="B26" i="15"/>
  <c r="J25" i="15"/>
  <c r="I25" i="15"/>
  <c r="H25" i="15"/>
  <c r="G25" i="15"/>
  <c r="F25" i="15"/>
  <c r="E25" i="15"/>
  <c r="D25" i="15"/>
  <c r="C25" i="15"/>
  <c r="B25" i="15"/>
  <c r="J24" i="15"/>
  <c r="I24" i="15"/>
  <c r="H24" i="15"/>
  <c r="G24" i="15"/>
  <c r="F24" i="15"/>
  <c r="E24" i="15"/>
  <c r="D24" i="15"/>
  <c r="C24" i="15"/>
  <c r="B24" i="15"/>
  <c r="J23" i="15"/>
  <c r="I23" i="15"/>
  <c r="H23" i="15"/>
  <c r="G23" i="15"/>
  <c r="F23" i="15"/>
  <c r="E23" i="15"/>
  <c r="D23" i="15"/>
  <c r="C23" i="15"/>
  <c r="B23" i="15"/>
  <c r="J22" i="15"/>
  <c r="I22" i="15"/>
  <c r="H22" i="15"/>
  <c r="G22" i="15"/>
  <c r="F22" i="15"/>
  <c r="E22" i="15"/>
  <c r="D22" i="15"/>
  <c r="C22" i="15"/>
  <c r="B22" i="15"/>
  <c r="J21" i="15"/>
  <c r="I21" i="15"/>
  <c r="H21" i="15"/>
  <c r="G21" i="15"/>
  <c r="F21" i="15"/>
  <c r="E21" i="15"/>
  <c r="D21" i="15"/>
  <c r="C21" i="15"/>
  <c r="B21" i="15"/>
  <c r="J20" i="15"/>
  <c r="I20" i="15"/>
  <c r="H20" i="15"/>
  <c r="G20" i="15"/>
  <c r="F20" i="15"/>
  <c r="E20" i="15"/>
  <c r="D20" i="15"/>
  <c r="C20" i="15"/>
  <c r="B20" i="15"/>
  <c r="J19" i="15"/>
  <c r="I19" i="15"/>
  <c r="H19" i="15"/>
  <c r="G19" i="15"/>
  <c r="F19" i="15"/>
  <c r="E19" i="15"/>
  <c r="D19" i="15"/>
  <c r="C19" i="15"/>
  <c r="B19" i="15"/>
  <c r="J18" i="15"/>
  <c r="I18" i="15"/>
  <c r="H18" i="15"/>
  <c r="G18" i="15"/>
  <c r="F18" i="15"/>
  <c r="E18" i="15"/>
  <c r="D18" i="15"/>
  <c r="C18" i="15"/>
  <c r="B18" i="15"/>
  <c r="J17" i="15"/>
  <c r="I17" i="15"/>
  <c r="H17" i="15"/>
  <c r="G17" i="15"/>
  <c r="F17" i="15"/>
  <c r="E17" i="15"/>
  <c r="D17" i="15"/>
  <c r="C17" i="15"/>
  <c r="B17" i="15"/>
  <c r="J16" i="15"/>
  <c r="I16" i="15"/>
  <c r="H16" i="15"/>
  <c r="G16" i="15"/>
  <c r="F16" i="15"/>
  <c r="E16" i="15"/>
  <c r="D16" i="15"/>
  <c r="C16" i="15"/>
  <c r="B16" i="15"/>
  <c r="J15" i="15"/>
  <c r="I15" i="15"/>
  <c r="H15" i="15"/>
  <c r="G15" i="15"/>
  <c r="F15" i="15"/>
  <c r="E15" i="15"/>
  <c r="D15" i="15"/>
  <c r="C15" i="15"/>
  <c r="B15" i="15"/>
  <c r="J14" i="15"/>
  <c r="I14" i="15"/>
  <c r="H14" i="15"/>
  <c r="G14" i="15"/>
  <c r="F14" i="15"/>
  <c r="E14" i="15"/>
  <c r="D14" i="15"/>
  <c r="C14" i="15"/>
  <c r="B14" i="15"/>
  <c r="J13" i="15"/>
  <c r="I13" i="15"/>
  <c r="H13" i="15"/>
  <c r="G13" i="15"/>
  <c r="F13" i="15"/>
  <c r="E13" i="15"/>
  <c r="D13" i="15"/>
  <c r="C13" i="15"/>
  <c r="B13" i="15"/>
  <c r="J12" i="15"/>
  <c r="I12" i="15"/>
  <c r="H12" i="15"/>
  <c r="G12" i="15"/>
  <c r="F12" i="15"/>
  <c r="E12" i="15"/>
  <c r="D12" i="15"/>
  <c r="C12" i="15"/>
  <c r="B12" i="15"/>
  <c r="J11" i="15"/>
  <c r="I11" i="15"/>
  <c r="H11" i="15"/>
  <c r="G11" i="15"/>
  <c r="F11" i="15"/>
  <c r="E11" i="15"/>
  <c r="D11" i="15"/>
  <c r="C11" i="15"/>
  <c r="B11" i="15"/>
  <c r="J10" i="15"/>
  <c r="I10" i="15"/>
  <c r="H10" i="15"/>
  <c r="G10" i="15"/>
  <c r="F10" i="15"/>
  <c r="E10" i="15"/>
  <c r="D10" i="15"/>
  <c r="C10" i="15"/>
  <c r="B10" i="15"/>
  <c r="J6" i="15"/>
  <c r="I6" i="15"/>
  <c r="H6" i="15"/>
  <c r="G6" i="15"/>
  <c r="F6" i="15"/>
  <c r="E6" i="15"/>
  <c r="D6" i="15"/>
  <c r="C6" i="15"/>
  <c r="B6" i="15"/>
  <c r="J5" i="15"/>
  <c r="I5" i="15"/>
  <c r="H5" i="15"/>
  <c r="G5" i="15"/>
  <c r="F5" i="15"/>
  <c r="E5" i="15"/>
  <c r="D5" i="15"/>
  <c r="C5" i="15"/>
  <c r="B5" i="15"/>
  <c r="J4" i="15"/>
  <c r="I4" i="15"/>
  <c r="H4" i="15"/>
  <c r="G4" i="15"/>
  <c r="F4" i="15"/>
  <c r="E4" i="15"/>
  <c r="D4" i="15"/>
  <c r="C4" i="15"/>
  <c r="B4" i="15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K21" i="11"/>
  <c r="G21" i="11"/>
  <c r="C21" i="11"/>
  <c r="K20" i="11"/>
  <c r="G20" i="11"/>
  <c r="C20" i="11"/>
  <c r="K19" i="11"/>
  <c r="G19" i="11"/>
  <c r="C19" i="11"/>
  <c r="K17" i="11"/>
  <c r="G17" i="11"/>
  <c r="C17" i="11"/>
  <c r="K16" i="11"/>
  <c r="G16" i="11"/>
  <c r="C16" i="11"/>
  <c r="K15" i="11"/>
  <c r="G15" i="11"/>
  <c r="C15" i="11"/>
  <c r="K13" i="11"/>
  <c r="G13" i="11"/>
  <c r="C13" i="11"/>
  <c r="K12" i="11"/>
  <c r="H12" i="11"/>
  <c r="G12" i="11"/>
  <c r="D12" i="11"/>
  <c r="C12" i="11"/>
  <c r="K11" i="11"/>
  <c r="H11" i="11"/>
  <c r="G11" i="11"/>
  <c r="D11" i="11"/>
  <c r="C11" i="11"/>
  <c r="K10" i="11"/>
  <c r="K33" i="11" s="1"/>
  <c r="J10" i="11"/>
  <c r="J34" i="11" s="1"/>
  <c r="I10" i="11"/>
  <c r="I35" i="11" s="1"/>
  <c r="H10" i="11"/>
  <c r="H32" i="11" s="1"/>
  <c r="G10" i="11"/>
  <c r="G33" i="11" s="1"/>
  <c r="F10" i="11"/>
  <c r="F34" i="11" s="1"/>
  <c r="E10" i="11"/>
  <c r="E35" i="11" s="1"/>
  <c r="D10" i="11"/>
  <c r="D32" i="11" s="1"/>
  <c r="C10" i="11"/>
  <c r="C33" i="11" s="1"/>
  <c r="K7" i="11"/>
  <c r="G7" i="11"/>
  <c r="C7" i="11"/>
  <c r="K6" i="11"/>
  <c r="H6" i="11"/>
  <c r="G6" i="11"/>
  <c r="D6" i="11"/>
  <c r="C6" i="11"/>
  <c r="K5" i="11"/>
  <c r="H5" i="11"/>
  <c r="G5" i="11"/>
  <c r="D5" i="11"/>
  <c r="C5" i="11"/>
  <c r="K4" i="11"/>
  <c r="J4" i="11"/>
  <c r="J7" i="11" s="1"/>
  <c r="I4" i="11"/>
  <c r="I5" i="11" s="1"/>
  <c r="H4" i="11"/>
  <c r="H7" i="11" s="1"/>
  <c r="G4" i="11"/>
  <c r="F4" i="11"/>
  <c r="F7" i="11" s="1"/>
  <c r="E4" i="11"/>
  <c r="E5" i="11" s="1"/>
  <c r="D4" i="11"/>
  <c r="D7" i="11" s="1"/>
  <c r="C4" i="11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F26" i="10"/>
  <c r="E26" i="10"/>
  <c r="D26" i="10"/>
  <c r="B26" i="10"/>
  <c r="I25" i="10"/>
  <c r="G25" i="10"/>
  <c r="F25" i="10"/>
  <c r="E25" i="10"/>
  <c r="D25" i="10"/>
  <c r="C25" i="10"/>
  <c r="B25" i="10"/>
  <c r="J24" i="10"/>
  <c r="H24" i="10"/>
  <c r="G24" i="10"/>
  <c r="E24" i="10"/>
  <c r="B24" i="10"/>
  <c r="J23" i="10"/>
  <c r="I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I21" i="10"/>
  <c r="F21" i="10"/>
  <c r="E21" i="10"/>
  <c r="D21" i="10"/>
  <c r="C21" i="10"/>
  <c r="B21" i="10"/>
  <c r="I20" i="10"/>
  <c r="G20" i="10"/>
  <c r="F20" i="10"/>
  <c r="E20" i="10"/>
  <c r="D20" i="10"/>
  <c r="C20" i="10"/>
  <c r="B20" i="10"/>
  <c r="J19" i="10"/>
  <c r="H19" i="10"/>
  <c r="G19" i="10"/>
  <c r="F19" i="10"/>
  <c r="E19" i="10"/>
  <c r="C19" i="10"/>
  <c r="B19" i="10"/>
  <c r="J18" i="10"/>
  <c r="I18" i="10"/>
  <c r="G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I16" i="10"/>
  <c r="F16" i="10"/>
  <c r="E16" i="10"/>
  <c r="D16" i="10"/>
  <c r="C16" i="10"/>
  <c r="B16" i="10"/>
  <c r="J15" i="10"/>
  <c r="I15" i="10"/>
  <c r="G15" i="10"/>
  <c r="F15" i="10"/>
  <c r="E15" i="10"/>
  <c r="D15" i="10"/>
  <c r="C15" i="10"/>
  <c r="J14" i="10"/>
  <c r="H14" i="10"/>
  <c r="G14" i="10"/>
  <c r="F14" i="10"/>
  <c r="E14" i="10"/>
  <c r="D14" i="10"/>
  <c r="C14" i="10"/>
  <c r="B14" i="10"/>
  <c r="J13" i="10"/>
  <c r="I13" i="10"/>
  <c r="G13" i="10"/>
  <c r="E13" i="10"/>
  <c r="C13" i="10"/>
  <c r="I12" i="10"/>
  <c r="H12" i="10"/>
  <c r="G12" i="10"/>
  <c r="F12" i="10"/>
  <c r="E12" i="10"/>
  <c r="D12" i="10"/>
  <c r="C12" i="10"/>
  <c r="B12" i="10"/>
  <c r="J11" i="10"/>
  <c r="I11" i="10"/>
  <c r="F11" i="10"/>
  <c r="E11" i="10"/>
  <c r="D11" i="10"/>
  <c r="C11" i="10"/>
  <c r="I7" i="10"/>
  <c r="G7" i="10"/>
  <c r="D7" i="10"/>
  <c r="C7" i="10"/>
  <c r="B7" i="10"/>
  <c r="I6" i="10"/>
  <c r="F6" i="10"/>
  <c r="E6" i="10"/>
  <c r="D6" i="10"/>
  <c r="C6" i="10"/>
  <c r="B6" i="10"/>
  <c r="G5" i="10"/>
  <c r="E5" i="10"/>
  <c r="B5" i="10"/>
  <c r="K25" i="9"/>
  <c r="G25" i="9"/>
  <c r="C25" i="9"/>
  <c r="K24" i="9"/>
  <c r="G24" i="9"/>
  <c r="C24" i="9"/>
  <c r="K21" i="9"/>
  <c r="G21" i="9"/>
  <c r="C21" i="9"/>
  <c r="K20" i="9"/>
  <c r="G20" i="9"/>
  <c r="C20" i="9"/>
  <c r="K19" i="9"/>
  <c r="G19" i="9"/>
  <c r="C19" i="9"/>
  <c r="K17" i="9"/>
  <c r="G17" i="9"/>
  <c r="C17" i="9"/>
  <c r="K16" i="9"/>
  <c r="H16" i="9"/>
  <c r="G16" i="9"/>
  <c r="D16" i="9"/>
  <c r="C16" i="9"/>
  <c r="K15" i="9"/>
  <c r="H15" i="9"/>
  <c r="G15" i="9"/>
  <c r="D15" i="9"/>
  <c r="C15" i="9"/>
  <c r="F14" i="9"/>
  <c r="K13" i="9"/>
  <c r="G13" i="9"/>
  <c r="C13" i="9"/>
  <c r="K12" i="9"/>
  <c r="H12" i="9"/>
  <c r="G12" i="9"/>
  <c r="D12" i="9"/>
  <c r="C12" i="9"/>
  <c r="K11" i="9"/>
  <c r="H11" i="9"/>
  <c r="G11" i="9"/>
  <c r="E11" i="9"/>
  <c r="D11" i="9"/>
  <c r="C11" i="9"/>
  <c r="K10" i="9"/>
  <c r="K33" i="9" s="1"/>
  <c r="J10" i="9"/>
  <c r="I10" i="9"/>
  <c r="H10" i="9"/>
  <c r="H32" i="9" s="1"/>
  <c r="G10" i="9"/>
  <c r="G33" i="9" s="1"/>
  <c r="F10" i="9"/>
  <c r="F13" i="9" s="1"/>
  <c r="E10" i="9"/>
  <c r="D10" i="9"/>
  <c r="D32" i="9" s="1"/>
  <c r="C10" i="9"/>
  <c r="C33" i="9" s="1"/>
  <c r="K7" i="9"/>
  <c r="G7" i="9"/>
  <c r="F7" i="9"/>
  <c r="C7" i="9"/>
  <c r="K6" i="9"/>
  <c r="H6" i="9"/>
  <c r="G6" i="9"/>
  <c r="C6" i="9"/>
  <c r="K5" i="9"/>
  <c r="G5" i="9"/>
  <c r="D5" i="9"/>
  <c r="C5" i="9"/>
  <c r="K4" i="9"/>
  <c r="J4" i="9"/>
  <c r="J7" i="9" s="1"/>
  <c r="I4" i="9"/>
  <c r="H4" i="9"/>
  <c r="H7" i="9" s="1"/>
  <c r="G4" i="9"/>
  <c r="F4" i="9"/>
  <c r="E4" i="9"/>
  <c r="D4" i="9"/>
  <c r="D7" i="9" s="1"/>
  <c r="C4" i="9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F26" i="8"/>
  <c r="B26" i="8"/>
  <c r="J25" i="8"/>
  <c r="F25" i="8"/>
  <c r="E25" i="8"/>
  <c r="D25" i="8"/>
  <c r="C25" i="8"/>
  <c r="J24" i="8"/>
  <c r="I24" i="8"/>
  <c r="G24" i="8"/>
  <c r="F24" i="8"/>
  <c r="E24" i="8"/>
  <c r="J23" i="8"/>
  <c r="I23" i="8"/>
  <c r="F23" i="8"/>
  <c r="E23" i="8"/>
  <c r="B23" i="8"/>
  <c r="J22" i="8"/>
  <c r="H22" i="8"/>
  <c r="F22" i="8"/>
  <c r="E22" i="8"/>
  <c r="C22" i="8"/>
  <c r="J21" i="8"/>
  <c r="H21" i="8"/>
  <c r="F21" i="8"/>
  <c r="C21" i="8"/>
  <c r="J20" i="8"/>
  <c r="I20" i="8"/>
  <c r="G20" i="8"/>
  <c r="F20" i="8"/>
  <c r="E20" i="8"/>
  <c r="J19" i="8"/>
  <c r="I19" i="8"/>
  <c r="G19" i="8"/>
  <c r="F19" i="8"/>
  <c r="J18" i="8"/>
  <c r="F18" i="8"/>
  <c r="E18" i="8"/>
  <c r="D18" i="8"/>
  <c r="C18" i="8"/>
  <c r="B18" i="8"/>
  <c r="J17" i="8"/>
  <c r="I17" i="8"/>
  <c r="H17" i="8"/>
  <c r="F17" i="8"/>
  <c r="E17" i="8"/>
  <c r="J16" i="8"/>
  <c r="I16" i="8"/>
  <c r="H16" i="8"/>
  <c r="G16" i="8"/>
  <c r="F16" i="8"/>
  <c r="D16" i="8"/>
  <c r="J15" i="8"/>
  <c r="G15" i="8"/>
  <c r="F15" i="8"/>
  <c r="E15" i="8"/>
  <c r="C15" i="8"/>
  <c r="B15" i="8"/>
  <c r="J14" i="8"/>
  <c r="I14" i="8"/>
  <c r="F14" i="8"/>
  <c r="D14" i="8"/>
  <c r="C14" i="8"/>
  <c r="J13" i="8"/>
  <c r="I13" i="8"/>
  <c r="F13" i="8"/>
  <c r="E13" i="8"/>
  <c r="J12" i="8"/>
  <c r="H12" i="8"/>
  <c r="G12" i="8"/>
  <c r="F12" i="8"/>
  <c r="E12" i="8"/>
  <c r="D12" i="8"/>
  <c r="B12" i="8"/>
  <c r="J11" i="8"/>
  <c r="I11" i="8"/>
  <c r="H11" i="8"/>
  <c r="G11" i="8"/>
  <c r="F11" i="8"/>
  <c r="E11" i="8"/>
  <c r="I7" i="8"/>
  <c r="H7" i="8"/>
  <c r="G7" i="8"/>
  <c r="F7" i="8"/>
  <c r="E7" i="8"/>
  <c r="D7" i="8"/>
  <c r="J6" i="8"/>
  <c r="I6" i="8"/>
  <c r="H6" i="8"/>
  <c r="F6" i="8"/>
  <c r="E6" i="8"/>
  <c r="C6" i="8"/>
  <c r="B6" i="8"/>
  <c r="I5" i="8"/>
  <c r="H5" i="8"/>
  <c r="G5" i="8"/>
  <c r="E5" i="8"/>
  <c r="D5" i="8"/>
  <c r="L35" i="7"/>
  <c r="I35" i="7"/>
  <c r="H35" i="7"/>
  <c r="E35" i="7"/>
  <c r="D35" i="7"/>
  <c r="L34" i="7"/>
  <c r="L33" i="7"/>
  <c r="I33" i="7"/>
  <c r="H33" i="7"/>
  <c r="E33" i="7"/>
  <c r="D33" i="7"/>
  <c r="L32" i="7"/>
  <c r="L31" i="7"/>
  <c r="I31" i="7"/>
  <c r="H31" i="7"/>
  <c r="E31" i="7"/>
  <c r="D31" i="7"/>
  <c r="L30" i="7"/>
  <c r="L29" i="7"/>
  <c r="I29" i="7"/>
  <c r="H29" i="7"/>
  <c r="E29" i="7"/>
  <c r="D29" i="7"/>
  <c r="L28" i="7"/>
  <c r="L27" i="7"/>
  <c r="I27" i="7"/>
  <c r="H27" i="7"/>
  <c r="E27" i="7"/>
  <c r="D27" i="7"/>
  <c r="L26" i="7"/>
  <c r="L25" i="7"/>
  <c r="I25" i="7"/>
  <c r="H25" i="7"/>
  <c r="E25" i="7"/>
  <c r="D25" i="7"/>
  <c r="L24" i="7"/>
  <c r="L23" i="7"/>
  <c r="I23" i="7"/>
  <c r="H23" i="7"/>
  <c r="E23" i="7"/>
  <c r="D23" i="7"/>
  <c r="L22" i="7"/>
  <c r="L21" i="7"/>
  <c r="I21" i="7"/>
  <c r="H21" i="7"/>
  <c r="E21" i="7"/>
  <c r="D21" i="7"/>
  <c r="L20" i="7"/>
  <c r="L19" i="7"/>
  <c r="I19" i="7"/>
  <c r="H19" i="7"/>
  <c r="E19" i="7"/>
  <c r="D19" i="7"/>
  <c r="L18" i="7"/>
  <c r="L17" i="7"/>
  <c r="I17" i="7"/>
  <c r="H17" i="7"/>
  <c r="E17" i="7"/>
  <c r="D17" i="7"/>
  <c r="L16" i="7"/>
  <c r="L15" i="7"/>
  <c r="I15" i="7"/>
  <c r="H15" i="7"/>
  <c r="E15" i="7"/>
  <c r="D15" i="7"/>
  <c r="L14" i="7"/>
  <c r="L13" i="7"/>
  <c r="I13" i="7"/>
  <c r="H13" i="7"/>
  <c r="E13" i="7"/>
  <c r="D13" i="7"/>
  <c r="L12" i="7"/>
  <c r="L11" i="7"/>
  <c r="I11" i="7"/>
  <c r="H11" i="7"/>
  <c r="E11" i="7"/>
  <c r="D11" i="7"/>
  <c r="L10" i="7"/>
  <c r="K10" i="7"/>
  <c r="K34" i="7" s="1"/>
  <c r="J10" i="7"/>
  <c r="J34" i="7" s="1"/>
  <c r="I10" i="7"/>
  <c r="I34" i="7" s="1"/>
  <c r="H10" i="7"/>
  <c r="H34" i="7" s="1"/>
  <c r="G10" i="7"/>
  <c r="G34" i="7" s="1"/>
  <c r="F10" i="7"/>
  <c r="F34" i="7" s="1"/>
  <c r="E10" i="7"/>
  <c r="E34" i="7" s="1"/>
  <c r="D10" i="7"/>
  <c r="D34" i="7" s="1"/>
  <c r="C10" i="7"/>
  <c r="C34" i="7" s="1"/>
  <c r="L7" i="7"/>
  <c r="I7" i="7"/>
  <c r="H7" i="7"/>
  <c r="E7" i="7"/>
  <c r="D7" i="7"/>
  <c r="L6" i="7"/>
  <c r="L5" i="7"/>
  <c r="I5" i="7"/>
  <c r="H5" i="7"/>
  <c r="E5" i="7"/>
  <c r="D5" i="7"/>
  <c r="L4" i="7"/>
  <c r="K4" i="7"/>
  <c r="K6" i="7" s="1"/>
  <c r="J4" i="7"/>
  <c r="J6" i="7" s="1"/>
  <c r="I4" i="7"/>
  <c r="I6" i="7" s="1"/>
  <c r="H4" i="7"/>
  <c r="H6" i="7" s="1"/>
  <c r="G4" i="7"/>
  <c r="G6" i="7" s="1"/>
  <c r="F4" i="7"/>
  <c r="F6" i="7" s="1"/>
  <c r="E4" i="7"/>
  <c r="E6" i="7" s="1"/>
  <c r="D4" i="7"/>
  <c r="D6" i="7" s="1"/>
  <c r="C4" i="7"/>
  <c r="C6" i="7" s="1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L35" i="5"/>
  <c r="I35" i="5"/>
  <c r="H35" i="5"/>
  <c r="E35" i="5"/>
  <c r="D35" i="5"/>
  <c r="L34" i="5"/>
  <c r="L33" i="5"/>
  <c r="I33" i="5"/>
  <c r="H33" i="5"/>
  <c r="E33" i="5"/>
  <c r="D33" i="5"/>
  <c r="L32" i="5"/>
  <c r="L31" i="5"/>
  <c r="I31" i="5"/>
  <c r="H31" i="5"/>
  <c r="E31" i="5"/>
  <c r="D31" i="5"/>
  <c r="L30" i="5"/>
  <c r="L29" i="5"/>
  <c r="I29" i="5"/>
  <c r="H29" i="5"/>
  <c r="E29" i="5"/>
  <c r="D29" i="5"/>
  <c r="L28" i="5"/>
  <c r="L27" i="5"/>
  <c r="I27" i="5"/>
  <c r="H27" i="5"/>
  <c r="E27" i="5"/>
  <c r="D27" i="5"/>
  <c r="L26" i="5"/>
  <c r="L25" i="5"/>
  <c r="I25" i="5"/>
  <c r="H25" i="5"/>
  <c r="E25" i="5"/>
  <c r="D25" i="5"/>
  <c r="L24" i="5"/>
  <c r="L23" i="5"/>
  <c r="I23" i="5"/>
  <c r="H23" i="5"/>
  <c r="E23" i="5"/>
  <c r="D23" i="5"/>
  <c r="L22" i="5"/>
  <c r="L21" i="5"/>
  <c r="I21" i="5"/>
  <c r="H21" i="5"/>
  <c r="E21" i="5"/>
  <c r="D21" i="5"/>
  <c r="L20" i="5"/>
  <c r="L19" i="5"/>
  <c r="I19" i="5"/>
  <c r="H19" i="5"/>
  <c r="E19" i="5"/>
  <c r="D19" i="5"/>
  <c r="L18" i="5"/>
  <c r="L17" i="5"/>
  <c r="I17" i="5"/>
  <c r="H17" i="5"/>
  <c r="E17" i="5"/>
  <c r="D17" i="5"/>
  <c r="L16" i="5"/>
  <c r="L15" i="5"/>
  <c r="I15" i="5"/>
  <c r="H15" i="5"/>
  <c r="E15" i="5"/>
  <c r="D15" i="5"/>
  <c r="L14" i="5"/>
  <c r="L13" i="5"/>
  <c r="I13" i="5"/>
  <c r="H13" i="5"/>
  <c r="E13" i="5"/>
  <c r="D13" i="5"/>
  <c r="L12" i="5"/>
  <c r="L11" i="5"/>
  <c r="I11" i="5"/>
  <c r="H11" i="5"/>
  <c r="E11" i="5"/>
  <c r="D11" i="5"/>
  <c r="L10" i="5"/>
  <c r="K10" i="5"/>
  <c r="K34" i="5" s="1"/>
  <c r="J10" i="5"/>
  <c r="J34" i="5" s="1"/>
  <c r="I10" i="5"/>
  <c r="I34" i="5" s="1"/>
  <c r="H10" i="5"/>
  <c r="H34" i="5" s="1"/>
  <c r="G10" i="5"/>
  <c r="G34" i="5" s="1"/>
  <c r="F10" i="5"/>
  <c r="F34" i="5" s="1"/>
  <c r="E10" i="5"/>
  <c r="E34" i="5" s="1"/>
  <c r="D10" i="5"/>
  <c r="D34" i="5" s="1"/>
  <c r="C10" i="5"/>
  <c r="C34" i="5" s="1"/>
  <c r="L7" i="5"/>
  <c r="I7" i="5"/>
  <c r="H7" i="5"/>
  <c r="E7" i="5"/>
  <c r="D7" i="5"/>
  <c r="L5" i="5"/>
  <c r="I5" i="5"/>
  <c r="H5" i="5"/>
  <c r="E5" i="5"/>
  <c r="D5" i="5"/>
  <c r="L4" i="5"/>
  <c r="L6" i="5" s="1"/>
  <c r="K4" i="5"/>
  <c r="K6" i="5" s="1"/>
  <c r="J4" i="5"/>
  <c r="J6" i="5" s="1"/>
  <c r="I4" i="5"/>
  <c r="I6" i="5" s="1"/>
  <c r="H4" i="5"/>
  <c r="H6" i="5" s="1"/>
  <c r="G4" i="5"/>
  <c r="G6" i="5" s="1"/>
  <c r="F4" i="5"/>
  <c r="F6" i="5" s="1"/>
  <c r="E4" i="5"/>
  <c r="E6" i="5" s="1"/>
  <c r="D4" i="5"/>
  <c r="D6" i="5" s="1"/>
  <c r="C4" i="5"/>
  <c r="C6" i="5" s="1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K7" i="4"/>
  <c r="J7" i="4"/>
  <c r="I7" i="4"/>
  <c r="H7" i="4"/>
  <c r="G7" i="4"/>
  <c r="F7" i="4"/>
  <c r="E7" i="4"/>
  <c r="D7" i="4"/>
  <c r="C7" i="4"/>
  <c r="B7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L32" i="3"/>
  <c r="K32" i="3"/>
  <c r="J32" i="3"/>
  <c r="I32" i="3"/>
  <c r="H32" i="3"/>
  <c r="G32" i="3"/>
  <c r="F32" i="3"/>
  <c r="E32" i="3"/>
  <c r="D32" i="3"/>
  <c r="C32" i="3"/>
  <c r="L31" i="3"/>
  <c r="K31" i="3"/>
  <c r="J31" i="3"/>
  <c r="I31" i="3"/>
  <c r="H31" i="3"/>
  <c r="G31" i="3"/>
  <c r="F31" i="3"/>
  <c r="E31" i="3"/>
  <c r="D31" i="3"/>
  <c r="C31" i="3"/>
  <c r="L30" i="3"/>
  <c r="K30" i="3"/>
  <c r="J30" i="3"/>
  <c r="I30" i="3"/>
  <c r="H30" i="3"/>
  <c r="G30" i="3"/>
  <c r="F30" i="3"/>
  <c r="E30" i="3"/>
  <c r="D30" i="3"/>
  <c r="C30" i="3"/>
  <c r="L29" i="3"/>
  <c r="K29" i="3"/>
  <c r="J29" i="3"/>
  <c r="I29" i="3"/>
  <c r="H29" i="3"/>
  <c r="G29" i="3"/>
  <c r="F29" i="3"/>
  <c r="E29" i="3"/>
  <c r="D29" i="3"/>
  <c r="C29" i="3"/>
  <c r="L28" i="3"/>
  <c r="K28" i="3"/>
  <c r="J28" i="3"/>
  <c r="I28" i="3"/>
  <c r="H28" i="3"/>
  <c r="G28" i="3"/>
  <c r="F28" i="3"/>
  <c r="E28" i="3"/>
  <c r="D28" i="3"/>
  <c r="C28" i="3"/>
  <c r="L27" i="3"/>
  <c r="K27" i="3"/>
  <c r="J27" i="3"/>
  <c r="I27" i="3"/>
  <c r="H27" i="3"/>
  <c r="G27" i="3"/>
  <c r="F27" i="3"/>
  <c r="E27" i="3"/>
  <c r="D27" i="3"/>
  <c r="C27" i="3"/>
  <c r="L26" i="3"/>
  <c r="K26" i="3"/>
  <c r="J26" i="3"/>
  <c r="I26" i="3"/>
  <c r="H26" i="3"/>
  <c r="G26" i="3"/>
  <c r="F26" i="3"/>
  <c r="E26" i="3"/>
  <c r="D26" i="3"/>
  <c r="C26" i="3"/>
  <c r="L25" i="3"/>
  <c r="K25" i="3"/>
  <c r="J25" i="3"/>
  <c r="I25" i="3"/>
  <c r="H25" i="3"/>
  <c r="G25" i="3"/>
  <c r="F25" i="3"/>
  <c r="E25" i="3"/>
  <c r="D25" i="3"/>
  <c r="C25" i="3"/>
  <c r="L24" i="3"/>
  <c r="K24" i="3"/>
  <c r="J24" i="3"/>
  <c r="I24" i="3"/>
  <c r="H24" i="3"/>
  <c r="G24" i="3"/>
  <c r="F24" i="3"/>
  <c r="E24" i="3"/>
  <c r="D24" i="3"/>
  <c r="C24" i="3"/>
  <c r="L23" i="3"/>
  <c r="K23" i="3"/>
  <c r="J23" i="3"/>
  <c r="I23" i="3"/>
  <c r="H23" i="3"/>
  <c r="G23" i="3"/>
  <c r="F23" i="3"/>
  <c r="E23" i="3"/>
  <c r="D23" i="3"/>
  <c r="C23" i="3"/>
  <c r="L22" i="3"/>
  <c r="K22" i="3"/>
  <c r="J22" i="3"/>
  <c r="I22" i="3"/>
  <c r="H22" i="3"/>
  <c r="G22" i="3"/>
  <c r="F22" i="3"/>
  <c r="E22" i="3"/>
  <c r="D22" i="3"/>
  <c r="C22" i="3"/>
  <c r="L21" i="3"/>
  <c r="K21" i="3"/>
  <c r="J21" i="3"/>
  <c r="I21" i="3"/>
  <c r="H21" i="3"/>
  <c r="G21" i="3"/>
  <c r="F21" i="3"/>
  <c r="E21" i="3"/>
  <c r="D21" i="3"/>
  <c r="C21" i="3"/>
  <c r="L20" i="3"/>
  <c r="K20" i="3"/>
  <c r="J20" i="3"/>
  <c r="I20" i="3"/>
  <c r="H20" i="3"/>
  <c r="G20" i="3"/>
  <c r="F20" i="3"/>
  <c r="E20" i="3"/>
  <c r="D20" i="3"/>
  <c r="C20" i="3"/>
  <c r="L19" i="3"/>
  <c r="K19" i="3"/>
  <c r="J19" i="3"/>
  <c r="I19" i="3"/>
  <c r="H19" i="3"/>
  <c r="G19" i="3"/>
  <c r="F19" i="3"/>
  <c r="E19" i="3"/>
  <c r="D19" i="3"/>
  <c r="C19" i="3"/>
  <c r="L18" i="3"/>
  <c r="K18" i="3"/>
  <c r="J18" i="3"/>
  <c r="I18" i="3"/>
  <c r="H18" i="3"/>
  <c r="G18" i="3"/>
  <c r="F18" i="3"/>
  <c r="E18" i="3"/>
  <c r="D18" i="3"/>
  <c r="C18" i="3"/>
  <c r="L17" i="3"/>
  <c r="K17" i="3"/>
  <c r="J17" i="3"/>
  <c r="I17" i="3"/>
  <c r="H17" i="3"/>
  <c r="G17" i="3"/>
  <c r="F17" i="3"/>
  <c r="E17" i="3"/>
  <c r="D17" i="3"/>
  <c r="C17" i="3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3" i="3"/>
  <c r="K13" i="3"/>
  <c r="J13" i="3"/>
  <c r="I13" i="3"/>
  <c r="H13" i="3"/>
  <c r="G13" i="3"/>
  <c r="F13" i="3"/>
  <c r="E13" i="3"/>
  <c r="D13" i="3"/>
  <c r="C13" i="3"/>
  <c r="M12" i="3"/>
  <c r="L12" i="3"/>
  <c r="K12" i="3"/>
  <c r="J12" i="3"/>
  <c r="I12" i="3"/>
  <c r="H12" i="3"/>
  <c r="G12" i="3"/>
  <c r="F12" i="3"/>
  <c r="E12" i="3"/>
  <c r="D12" i="3"/>
  <c r="C12" i="3"/>
  <c r="M11" i="3"/>
  <c r="L11" i="3"/>
  <c r="K11" i="3"/>
  <c r="J11" i="3"/>
  <c r="I11" i="3"/>
  <c r="H11" i="3"/>
  <c r="G11" i="3"/>
  <c r="F11" i="3"/>
  <c r="E11" i="3"/>
  <c r="D11" i="3"/>
  <c r="C11" i="3"/>
  <c r="M10" i="3"/>
  <c r="L10" i="3"/>
  <c r="K10" i="3"/>
  <c r="J10" i="3"/>
  <c r="I10" i="3"/>
  <c r="H10" i="3"/>
  <c r="G10" i="3"/>
  <c r="F10" i="3"/>
  <c r="E10" i="3"/>
  <c r="D10" i="3"/>
  <c r="C10" i="3"/>
  <c r="M9" i="3"/>
  <c r="L9" i="3"/>
  <c r="K9" i="3"/>
  <c r="J9" i="3"/>
  <c r="I9" i="3"/>
  <c r="H9" i="3"/>
  <c r="G9" i="3"/>
  <c r="F9" i="3"/>
  <c r="E9" i="3"/>
  <c r="D9" i="3"/>
  <c r="C9" i="3"/>
  <c r="M8" i="3"/>
  <c r="L8" i="3"/>
  <c r="K8" i="3"/>
  <c r="J8" i="3"/>
  <c r="I8" i="3"/>
  <c r="H8" i="3"/>
  <c r="G8" i="3"/>
  <c r="F8" i="3"/>
  <c r="E8" i="3"/>
  <c r="D8" i="3"/>
  <c r="C8" i="3"/>
  <c r="M7" i="3"/>
  <c r="L7" i="3"/>
  <c r="K7" i="3"/>
  <c r="J7" i="3"/>
  <c r="I7" i="3"/>
  <c r="H7" i="3"/>
  <c r="G7" i="3"/>
  <c r="F7" i="3"/>
  <c r="E7" i="3"/>
  <c r="D7" i="3"/>
  <c r="C7" i="3"/>
  <c r="M6" i="3"/>
  <c r="L6" i="3"/>
  <c r="K6" i="3"/>
  <c r="J6" i="3"/>
  <c r="I6" i="3"/>
  <c r="H6" i="3"/>
  <c r="G6" i="3"/>
  <c r="F6" i="3"/>
  <c r="E6" i="3"/>
  <c r="D6" i="3"/>
  <c r="C6" i="3"/>
  <c r="M5" i="3"/>
  <c r="L5" i="3"/>
  <c r="K5" i="3"/>
  <c r="J5" i="3"/>
  <c r="I5" i="3"/>
  <c r="H5" i="3"/>
  <c r="G5" i="3"/>
  <c r="F5" i="3"/>
  <c r="E5" i="3"/>
  <c r="D5" i="3"/>
  <c r="C5" i="3"/>
  <c r="M32" i="2"/>
  <c r="L32" i="2"/>
  <c r="K32" i="2"/>
  <c r="J32" i="2"/>
  <c r="I32" i="2"/>
  <c r="H32" i="2"/>
  <c r="G32" i="2"/>
  <c r="F32" i="2"/>
  <c r="E32" i="2"/>
  <c r="D32" i="2"/>
  <c r="M31" i="2"/>
  <c r="L31" i="2"/>
  <c r="K31" i="2"/>
  <c r="J31" i="2"/>
  <c r="I31" i="2"/>
  <c r="H31" i="2"/>
  <c r="G31" i="2"/>
  <c r="F31" i="2"/>
  <c r="E31" i="2"/>
  <c r="D31" i="2"/>
  <c r="C31" i="2"/>
  <c r="M30" i="2"/>
  <c r="L30" i="2"/>
  <c r="K30" i="2"/>
  <c r="J30" i="2"/>
  <c r="I30" i="2"/>
  <c r="H30" i="2"/>
  <c r="G30" i="2"/>
  <c r="F30" i="2"/>
  <c r="E30" i="2"/>
  <c r="D30" i="2"/>
  <c r="M29" i="2"/>
  <c r="L29" i="2"/>
  <c r="K29" i="2"/>
  <c r="J29" i="2"/>
  <c r="I29" i="2"/>
  <c r="H29" i="2"/>
  <c r="G29" i="2"/>
  <c r="F29" i="2"/>
  <c r="E29" i="2"/>
  <c r="D29" i="2"/>
  <c r="M28" i="2"/>
  <c r="L28" i="2"/>
  <c r="K28" i="2"/>
  <c r="J28" i="2"/>
  <c r="I28" i="2"/>
  <c r="H28" i="2"/>
  <c r="G28" i="2"/>
  <c r="F28" i="2"/>
  <c r="E28" i="2"/>
  <c r="D28" i="2"/>
  <c r="M27" i="2"/>
  <c r="L27" i="2"/>
  <c r="K27" i="2"/>
  <c r="J27" i="2"/>
  <c r="I27" i="2"/>
  <c r="H27" i="2"/>
  <c r="G27" i="2"/>
  <c r="F27" i="2"/>
  <c r="E27" i="2"/>
  <c r="D27" i="2"/>
  <c r="C27" i="2"/>
  <c r="M26" i="2"/>
  <c r="L26" i="2"/>
  <c r="K26" i="2"/>
  <c r="J26" i="2"/>
  <c r="I26" i="2"/>
  <c r="H26" i="2"/>
  <c r="G26" i="2"/>
  <c r="F26" i="2"/>
  <c r="E26" i="2"/>
  <c r="D26" i="2"/>
  <c r="M25" i="2"/>
  <c r="L25" i="2"/>
  <c r="K25" i="2"/>
  <c r="J25" i="2"/>
  <c r="I25" i="2"/>
  <c r="H25" i="2"/>
  <c r="G25" i="2"/>
  <c r="F25" i="2"/>
  <c r="E25" i="2"/>
  <c r="D25" i="2"/>
  <c r="M24" i="2"/>
  <c r="L24" i="2"/>
  <c r="K24" i="2"/>
  <c r="J24" i="2"/>
  <c r="I24" i="2"/>
  <c r="H24" i="2"/>
  <c r="G24" i="2"/>
  <c r="F24" i="2"/>
  <c r="E24" i="2"/>
  <c r="D24" i="2"/>
  <c r="M23" i="2"/>
  <c r="L23" i="2"/>
  <c r="K23" i="2"/>
  <c r="J23" i="2"/>
  <c r="I23" i="2"/>
  <c r="H23" i="2"/>
  <c r="G23" i="2"/>
  <c r="F23" i="2"/>
  <c r="E23" i="2"/>
  <c r="D23" i="2"/>
  <c r="C23" i="2"/>
  <c r="M22" i="2"/>
  <c r="L22" i="2"/>
  <c r="K22" i="2"/>
  <c r="J22" i="2"/>
  <c r="I22" i="2"/>
  <c r="H22" i="2"/>
  <c r="G22" i="2"/>
  <c r="F22" i="2"/>
  <c r="E22" i="2"/>
  <c r="D22" i="2"/>
  <c r="M21" i="2"/>
  <c r="L21" i="2"/>
  <c r="K21" i="2"/>
  <c r="J21" i="2"/>
  <c r="I21" i="2"/>
  <c r="H21" i="2"/>
  <c r="G21" i="2"/>
  <c r="F21" i="2"/>
  <c r="E21" i="2"/>
  <c r="D21" i="2"/>
  <c r="M20" i="2"/>
  <c r="L20" i="2"/>
  <c r="K20" i="2"/>
  <c r="J20" i="2"/>
  <c r="I20" i="2"/>
  <c r="H20" i="2"/>
  <c r="G20" i="2"/>
  <c r="F20" i="2"/>
  <c r="E20" i="2"/>
  <c r="D20" i="2"/>
  <c r="M19" i="2"/>
  <c r="L19" i="2"/>
  <c r="K19" i="2"/>
  <c r="J19" i="2"/>
  <c r="I19" i="2"/>
  <c r="H19" i="2"/>
  <c r="G19" i="2"/>
  <c r="F19" i="2"/>
  <c r="E19" i="2"/>
  <c r="D19" i="2"/>
  <c r="C19" i="2"/>
  <c r="M18" i="2"/>
  <c r="L18" i="2"/>
  <c r="K18" i="2"/>
  <c r="J18" i="2"/>
  <c r="I18" i="2"/>
  <c r="H18" i="2"/>
  <c r="G18" i="2"/>
  <c r="F18" i="2"/>
  <c r="E18" i="2"/>
  <c r="D18" i="2"/>
  <c r="M17" i="2"/>
  <c r="L17" i="2"/>
  <c r="K17" i="2"/>
  <c r="J17" i="2"/>
  <c r="I17" i="2"/>
  <c r="H17" i="2"/>
  <c r="G17" i="2"/>
  <c r="F17" i="2"/>
  <c r="E17" i="2"/>
  <c r="D17" i="2"/>
  <c r="M16" i="2"/>
  <c r="L16" i="2"/>
  <c r="K16" i="2"/>
  <c r="J16" i="2"/>
  <c r="I16" i="2"/>
  <c r="H16" i="2"/>
  <c r="G16" i="2"/>
  <c r="F16" i="2"/>
  <c r="E16" i="2"/>
  <c r="D16" i="2"/>
  <c r="M15" i="2"/>
  <c r="L15" i="2"/>
  <c r="K15" i="2"/>
  <c r="J15" i="2"/>
  <c r="I15" i="2"/>
  <c r="H15" i="2"/>
  <c r="G15" i="2"/>
  <c r="F15" i="2"/>
  <c r="E15" i="2"/>
  <c r="D15" i="2"/>
  <c r="C15" i="2"/>
  <c r="M14" i="2"/>
  <c r="L14" i="2"/>
  <c r="K14" i="2"/>
  <c r="J14" i="2"/>
  <c r="I14" i="2"/>
  <c r="H14" i="2"/>
  <c r="G14" i="2"/>
  <c r="F14" i="2"/>
  <c r="E14" i="2"/>
  <c r="D14" i="2"/>
  <c r="M13" i="2"/>
  <c r="L13" i="2"/>
  <c r="K13" i="2"/>
  <c r="J13" i="2"/>
  <c r="I13" i="2"/>
  <c r="H13" i="2"/>
  <c r="G13" i="2"/>
  <c r="F13" i="2"/>
  <c r="E13" i="2"/>
  <c r="D13" i="2"/>
  <c r="M12" i="2"/>
  <c r="L12" i="2"/>
  <c r="K12" i="2"/>
  <c r="J12" i="2"/>
  <c r="I12" i="2"/>
  <c r="H12" i="2"/>
  <c r="G12" i="2"/>
  <c r="F12" i="2"/>
  <c r="E12" i="2"/>
  <c r="D12" i="2"/>
  <c r="M11" i="2"/>
  <c r="L11" i="2"/>
  <c r="K11" i="2"/>
  <c r="J11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M9" i="2"/>
  <c r="L9" i="2"/>
  <c r="K9" i="2"/>
  <c r="J9" i="2"/>
  <c r="I9" i="2"/>
  <c r="H9" i="2"/>
  <c r="G9" i="2"/>
  <c r="F9" i="2"/>
  <c r="E9" i="2"/>
  <c r="D9" i="2"/>
  <c r="M8" i="2"/>
  <c r="L8" i="2"/>
  <c r="K8" i="2"/>
  <c r="J8" i="2"/>
  <c r="I8" i="2"/>
  <c r="H8" i="2"/>
  <c r="G8" i="2"/>
  <c r="F8" i="2"/>
  <c r="E8" i="2"/>
  <c r="D8" i="2"/>
  <c r="M7" i="2"/>
  <c r="L7" i="2"/>
  <c r="K7" i="2"/>
  <c r="J7" i="2"/>
  <c r="I7" i="2"/>
  <c r="H7" i="2"/>
  <c r="G7" i="2"/>
  <c r="F7" i="2"/>
  <c r="E7" i="2"/>
  <c r="D7" i="2"/>
  <c r="C7" i="2"/>
  <c r="M6" i="2"/>
  <c r="L6" i="2"/>
  <c r="K6" i="2"/>
  <c r="J6" i="2"/>
  <c r="I6" i="2"/>
  <c r="H6" i="2"/>
  <c r="G6" i="2"/>
  <c r="F6" i="2"/>
  <c r="E6" i="2"/>
  <c r="D6" i="2"/>
  <c r="M5" i="2"/>
  <c r="L5" i="2"/>
  <c r="K5" i="2"/>
  <c r="J5" i="2"/>
  <c r="I5" i="2"/>
  <c r="H5" i="2"/>
  <c r="G5" i="2"/>
  <c r="F5" i="2"/>
  <c r="E5" i="2"/>
  <c r="D5" i="2"/>
  <c r="C4" i="2"/>
  <c r="C30" i="2" s="1"/>
  <c r="L32" i="1"/>
  <c r="K32" i="1"/>
  <c r="J32" i="1"/>
  <c r="I32" i="1"/>
  <c r="H32" i="1"/>
  <c r="G32" i="1"/>
  <c r="F32" i="1"/>
  <c r="E32" i="1"/>
  <c r="D32" i="1"/>
  <c r="L31" i="1"/>
  <c r="K31" i="1"/>
  <c r="J31" i="1"/>
  <c r="I31" i="1"/>
  <c r="H31" i="1"/>
  <c r="G31" i="1"/>
  <c r="F31" i="1"/>
  <c r="E31" i="1"/>
  <c r="D31" i="1"/>
  <c r="L30" i="1"/>
  <c r="K30" i="1"/>
  <c r="J30" i="1"/>
  <c r="I30" i="1"/>
  <c r="H30" i="1"/>
  <c r="G30" i="1"/>
  <c r="F30" i="1"/>
  <c r="E30" i="1"/>
  <c r="D30" i="1"/>
  <c r="L29" i="1"/>
  <c r="K29" i="1"/>
  <c r="J29" i="1"/>
  <c r="I29" i="1"/>
  <c r="H29" i="1"/>
  <c r="G29" i="1"/>
  <c r="F29" i="1"/>
  <c r="E29" i="1"/>
  <c r="D29" i="1"/>
  <c r="L28" i="1"/>
  <c r="K28" i="1"/>
  <c r="J28" i="1"/>
  <c r="I28" i="1"/>
  <c r="H28" i="1"/>
  <c r="G28" i="1"/>
  <c r="F28" i="1"/>
  <c r="E28" i="1"/>
  <c r="D28" i="1"/>
  <c r="L27" i="1"/>
  <c r="K27" i="1"/>
  <c r="J27" i="1"/>
  <c r="I27" i="1"/>
  <c r="H27" i="1"/>
  <c r="G27" i="1"/>
  <c r="F27" i="1"/>
  <c r="E27" i="1"/>
  <c r="D27" i="1"/>
  <c r="L26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L24" i="1"/>
  <c r="K24" i="1"/>
  <c r="J24" i="1"/>
  <c r="I24" i="1"/>
  <c r="H24" i="1"/>
  <c r="G24" i="1"/>
  <c r="F24" i="1"/>
  <c r="E24" i="1"/>
  <c r="D24" i="1"/>
  <c r="L23" i="1"/>
  <c r="K23" i="1"/>
  <c r="J23" i="1"/>
  <c r="I23" i="1"/>
  <c r="H23" i="1"/>
  <c r="G23" i="1"/>
  <c r="F23" i="1"/>
  <c r="E23" i="1"/>
  <c r="D23" i="1"/>
  <c r="L22" i="1"/>
  <c r="K22" i="1"/>
  <c r="J22" i="1"/>
  <c r="I22" i="1"/>
  <c r="H22" i="1"/>
  <c r="G22" i="1"/>
  <c r="F22" i="1"/>
  <c r="E22" i="1"/>
  <c r="D22" i="1"/>
  <c r="L21" i="1"/>
  <c r="K21" i="1"/>
  <c r="J21" i="1"/>
  <c r="I21" i="1"/>
  <c r="H21" i="1"/>
  <c r="G21" i="1"/>
  <c r="F21" i="1"/>
  <c r="E21" i="1"/>
  <c r="D21" i="1"/>
  <c r="L20" i="1"/>
  <c r="K20" i="1"/>
  <c r="J20" i="1"/>
  <c r="I20" i="1"/>
  <c r="H20" i="1"/>
  <c r="G20" i="1"/>
  <c r="F20" i="1"/>
  <c r="E20" i="1"/>
  <c r="D20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L14" i="1"/>
  <c r="K14" i="1"/>
  <c r="J14" i="1"/>
  <c r="I14" i="1"/>
  <c r="H14" i="1"/>
  <c r="G14" i="1"/>
  <c r="F14" i="1"/>
  <c r="E14" i="1"/>
  <c r="D14" i="1"/>
  <c r="L13" i="1"/>
  <c r="K13" i="1"/>
  <c r="J13" i="1"/>
  <c r="I13" i="1"/>
  <c r="H13" i="1"/>
  <c r="G13" i="1"/>
  <c r="F13" i="1"/>
  <c r="E13" i="1"/>
  <c r="D13" i="1"/>
  <c r="L12" i="1"/>
  <c r="K12" i="1"/>
  <c r="J12" i="1"/>
  <c r="I12" i="1"/>
  <c r="H12" i="1"/>
  <c r="G12" i="1"/>
  <c r="F12" i="1"/>
  <c r="E12" i="1"/>
  <c r="D12" i="1"/>
  <c r="L11" i="1"/>
  <c r="K11" i="1"/>
  <c r="J11" i="1"/>
  <c r="I11" i="1"/>
  <c r="H11" i="1"/>
  <c r="G11" i="1"/>
  <c r="F11" i="1"/>
  <c r="E11" i="1"/>
  <c r="D11" i="1"/>
  <c r="L10" i="1"/>
  <c r="K10" i="1"/>
  <c r="J10" i="1"/>
  <c r="I10" i="1"/>
  <c r="H10" i="1"/>
  <c r="G10" i="1"/>
  <c r="F10" i="1"/>
  <c r="E10" i="1"/>
  <c r="D10" i="1"/>
  <c r="L9" i="1"/>
  <c r="K9" i="1"/>
  <c r="J9" i="1"/>
  <c r="I9" i="1"/>
  <c r="H9" i="1"/>
  <c r="G9" i="1"/>
  <c r="F9" i="1"/>
  <c r="E9" i="1"/>
  <c r="D9" i="1"/>
  <c r="L8" i="1"/>
  <c r="K8" i="1"/>
  <c r="J8" i="1"/>
  <c r="I8" i="1"/>
  <c r="H8" i="1"/>
  <c r="G8" i="1"/>
  <c r="F8" i="1"/>
  <c r="E8" i="1"/>
  <c r="D8" i="1"/>
  <c r="L7" i="1"/>
  <c r="K7" i="1"/>
  <c r="J7" i="1"/>
  <c r="I7" i="1"/>
  <c r="H7" i="1"/>
  <c r="G7" i="1"/>
  <c r="F7" i="1"/>
  <c r="E7" i="1"/>
  <c r="D7" i="1"/>
  <c r="L6" i="1"/>
  <c r="K6" i="1"/>
  <c r="J6" i="1"/>
  <c r="I6" i="1"/>
  <c r="H6" i="1"/>
  <c r="G6" i="1"/>
  <c r="F6" i="1"/>
  <c r="E6" i="1"/>
  <c r="D6" i="1"/>
  <c r="L5" i="1"/>
  <c r="K5" i="1"/>
  <c r="J5" i="1"/>
  <c r="I5" i="1"/>
  <c r="H5" i="1"/>
  <c r="G5" i="1"/>
  <c r="F5" i="1"/>
  <c r="E5" i="1"/>
  <c r="D5" i="1"/>
  <c r="C4" i="1"/>
  <c r="C31" i="1" s="1"/>
  <c r="C5" i="1" l="1"/>
  <c r="C7" i="1"/>
  <c r="C9" i="1"/>
  <c r="C11" i="1"/>
  <c r="C13" i="1"/>
  <c r="C17" i="1"/>
  <c r="C21" i="1"/>
  <c r="C14" i="2"/>
  <c r="C18" i="2"/>
  <c r="C5" i="2"/>
  <c r="C9" i="2"/>
  <c r="C13" i="2"/>
  <c r="C17" i="2"/>
  <c r="C21" i="2"/>
  <c r="C25" i="2"/>
  <c r="C29" i="2"/>
  <c r="F5" i="5"/>
  <c r="J5" i="5"/>
  <c r="F7" i="5"/>
  <c r="J7" i="5"/>
  <c r="F11" i="5"/>
  <c r="J11" i="5"/>
  <c r="D12" i="5"/>
  <c r="H12" i="5"/>
  <c r="F13" i="5"/>
  <c r="J13" i="5"/>
  <c r="D14" i="5"/>
  <c r="H14" i="5"/>
  <c r="F15" i="5"/>
  <c r="J15" i="5"/>
  <c r="D16" i="5"/>
  <c r="H16" i="5"/>
  <c r="F17" i="5"/>
  <c r="J17" i="5"/>
  <c r="D18" i="5"/>
  <c r="H18" i="5"/>
  <c r="F19" i="5"/>
  <c r="J19" i="5"/>
  <c r="D20" i="5"/>
  <c r="H20" i="5"/>
  <c r="F21" i="5"/>
  <c r="J21" i="5"/>
  <c r="D22" i="5"/>
  <c r="H22" i="5"/>
  <c r="F23" i="5"/>
  <c r="J23" i="5"/>
  <c r="D24" i="5"/>
  <c r="H24" i="5"/>
  <c r="F25" i="5"/>
  <c r="J25" i="5"/>
  <c r="D26" i="5"/>
  <c r="H26" i="5"/>
  <c r="F27" i="5"/>
  <c r="J27" i="5"/>
  <c r="D28" i="5"/>
  <c r="H28" i="5"/>
  <c r="F29" i="5"/>
  <c r="J29" i="5"/>
  <c r="D30" i="5"/>
  <c r="H30" i="5"/>
  <c r="F31" i="5"/>
  <c r="J31" i="5"/>
  <c r="D32" i="5"/>
  <c r="H32" i="5"/>
  <c r="F33" i="5"/>
  <c r="J33" i="5"/>
  <c r="F35" i="5"/>
  <c r="J35" i="5"/>
  <c r="F5" i="7"/>
  <c r="J5" i="7"/>
  <c r="F7" i="7"/>
  <c r="J7" i="7"/>
  <c r="F11" i="7"/>
  <c r="J11" i="7"/>
  <c r="D12" i="7"/>
  <c r="H12" i="7"/>
  <c r="F13" i="7"/>
  <c r="J13" i="7"/>
  <c r="D14" i="7"/>
  <c r="H14" i="7"/>
  <c r="F15" i="7"/>
  <c r="J15" i="7"/>
  <c r="D16" i="7"/>
  <c r="H16" i="7"/>
  <c r="F17" i="7"/>
  <c r="J17" i="7"/>
  <c r="D18" i="7"/>
  <c r="H18" i="7"/>
  <c r="F19" i="7"/>
  <c r="J19" i="7"/>
  <c r="D20" i="7"/>
  <c r="H20" i="7"/>
  <c r="F21" i="7"/>
  <c r="J21" i="7"/>
  <c r="D22" i="7"/>
  <c r="H22" i="7"/>
  <c r="F23" i="7"/>
  <c r="J23" i="7"/>
  <c r="D24" i="7"/>
  <c r="H24" i="7"/>
  <c r="F25" i="7"/>
  <c r="J25" i="7"/>
  <c r="D26" i="7"/>
  <c r="H26" i="7"/>
  <c r="F27" i="7"/>
  <c r="J27" i="7"/>
  <c r="D28" i="7"/>
  <c r="H28" i="7"/>
  <c r="F29" i="7"/>
  <c r="J29" i="7"/>
  <c r="D30" i="7"/>
  <c r="H30" i="7"/>
  <c r="F31" i="7"/>
  <c r="J31" i="7"/>
  <c r="D32" i="7"/>
  <c r="H32" i="7"/>
  <c r="F33" i="7"/>
  <c r="J33" i="7"/>
  <c r="F35" i="7"/>
  <c r="J35" i="7"/>
  <c r="E35" i="9"/>
  <c r="E31" i="9"/>
  <c r="E27" i="9"/>
  <c r="E23" i="9"/>
  <c r="E19" i="9"/>
  <c r="E15" i="9"/>
  <c r="E34" i="9"/>
  <c r="E30" i="9"/>
  <c r="E26" i="9"/>
  <c r="E22" i="9"/>
  <c r="E18" i="9"/>
  <c r="E14" i="9"/>
  <c r="E33" i="9"/>
  <c r="E29" i="9"/>
  <c r="E25" i="9"/>
  <c r="E21" i="9"/>
  <c r="E17" i="9"/>
  <c r="E13" i="9"/>
  <c r="E32" i="9"/>
  <c r="E28" i="9"/>
  <c r="E24" i="9"/>
  <c r="E20" i="9"/>
  <c r="E16" i="9"/>
  <c r="E12" i="9"/>
  <c r="I35" i="9"/>
  <c r="I31" i="9"/>
  <c r="I27" i="9"/>
  <c r="I23" i="9"/>
  <c r="I19" i="9"/>
  <c r="I15" i="9"/>
  <c r="I34" i="9"/>
  <c r="I30" i="9"/>
  <c r="I26" i="9"/>
  <c r="I22" i="9"/>
  <c r="I18" i="9"/>
  <c r="I14" i="9"/>
  <c r="I33" i="9"/>
  <c r="I29" i="9"/>
  <c r="I25" i="9"/>
  <c r="I21" i="9"/>
  <c r="I17" i="9"/>
  <c r="I13" i="9"/>
  <c r="I32" i="9"/>
  <c r="I28" i="9"/>
  <c r="I24" i="9"/>
  <c r="I20" i="9"/>
  <c r="I16" i="9"/>
  <c r="I12" i="9"/>
  <c r="I11" i="9"/>
  <c r="P14" i="27"/>
  <c r="P15" i="27" s="1"/>
  <c r="Q13" i="27"/>
  <c r="N17" i="27"/>
  <c r="N18" i="27" s="1"/>
  <c r="N19" i="27" s="1"/>
  <c r="N20" i="27" s="1"/>
  <c r="O16" i="27"/>
  <c r="C19" i="1"/>
  <c r="C25" i="1"/>
  <c r="C27" i="1"/>
  <c r="C6" i="2"/>
  <c r="C6" i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8" i="2"/>
  <c r="C12" i="2"/>
  <c r="C16" i="2"/>
  <c r="C20" i="2"/>
  <c r="C24" i="2"/>
  <c r="C28" i="2"/>
  <c r="C32" i="2"/>
  <c r="C5" i="5"/>
  <c r="G5" i="5"/>
  <c r="K5" i="5"/>
  <c r="C7" i="5"/>
  <c r="G7" i="5"/>
  <c r="K7" i="5"/>
  <c r="C11" i="5"/>
  <c r="G11" i="5"/>
  <c r="K11" i="5"/>
  <c r="E12" i="5"/>
  <c r="I12" i="5"/>
  <c r="C13" i="5"/>
  <c r="G13" i="5"/>
  <c r="K13" i="5"/>
  <c r="E14" i="5"/>
  <c r="I14" i="5"/>
  <c r="C15" i="5"/>
  <c r="G15" i="5"/>
  <c r="K15" i="5"/>
  <c r="E16" i="5"/>
  <c r="I16" i="5"/>
  <c r="C17" i="5"/>
  <c r="G17" i="5"/>
  <c r="K17" i="5"/>
  <c r="E18" i="5"/>
  <c r="I18" i="5"/>
  <c r="C19" i="5"/>
  <c r="G19" i="5"/>
  <c r="K19" i="5"/>
  <c r="E20" i="5"/>
  <c r="I20" i="5"/>
  <c r="C21" i="5"/>
  <c r="G21" i="5"/>
  <c r="K21" i="5"/>
  <c r="E22" i="5"/>
  <c r="I22" i="5"/>
  <c r="C23" i="5"/>
  <c r="G23" i="5"/>
  <c r="K23" i="5"/>
  <c r="E24" i="5"/>
  <c r="I24" i="5"/>
  <c r="C25" i="5"/>
  <c r="G25" i="5"/>
  <c r="K25" i="5"/>
  <c r="E26" i="5"/>
  <c r="I26" i="5"/>
  <c r="C27" i="5"/>
  <c r="G27" i="5"/>
  <c r="K27" i="5"/>
  <c r="E28" i="5"/>
  <c r="I28" i="5"/>
  <c r="C29" i="5"/>
  <c r="G29" i="5"/>
  <c r="K29" i="5"/>
  <c r="E30" i="5"/>
  <c r="I30" i="5"/>
  <c r="C31" i="5"/>
  <c r="G31" i="5"/>
  <c r="K31" i="5"/>
  <c r="E32" i="5"/>
  <c r="I32" i="5"/>
  <c r="C33" i="5"/>
  <c r="G33" i="5"/>
  <c r="K33" i="5"/>
  <c r="C35" i="5"/>
  <c r="G35" i="5"/>
  <c r="K35" i="5"/>
  <c r="C5" i="7"/>
  <c r="G5" i="7"/>
  <c r="K5" i="7"/>
  <c r="C7" i="7"/>
  <c r="G7" i="7"/>
  <c r="K7" i="7"/>
  <c r="C11" i="7"/>
  <c r="G11" i="7"/>
  <c r="K11" i="7"/>
  <c r="E12" i="7"/>
  <c r="I12" i="7"/>
  <c r="C13" i="7"/>
  <c r="G13" i="7"/>
  <c r="K13" i="7"/>
  <c r="E14" i="7"/>
  <c r="I14" i="7"/>
  <c r="C15" i="7"/>
  <c r="G15" i="7"/>
  <c r="K15" i="7"/>
  <c r="E16" i="7"/>
  <c r="I16" i="7"/>
  <c r="C17" i="7"/>
  <c r="G17" i="7"/>
  <c r="K17" i="7"/>
  <c r="E18" i="7"/>
  <c r="I18" i="7"/>
  <c r="C19" i="7"/>
  <c r="G19" i="7"/>
  <c r="K19" i="7"/>
  <c r="E20" i="7"/>
  <c r="I20" i="7"/>
  <c r="C21" i="7"/>
  <c r="G21" i="7"/>
  <c r="K21" i="7"/>
  <c r="E22" i="7"/>
  <c r="I22" i="7"/>
  <c r="C23" i="7"/>
  <c r="G23" i="7"/>
  <c r="K23" i="7"/>
  <c r="E24" i="7"/>
  <c r="I24" i="7"/>
  <c r="C25" i="7"/>
  <c r="G25" i="7"/>
  <c r="K25" i="7"/>
  <c r="E26" i="7"/>
  <c r="I26" i="7"/>
  <c r="C27" i="7"/>
  <c r="G27" i="7"/>
  <c r="K27" i="7"/>
  <c r="E28" i="7"/>
  <c r="I28" i="7"/>
  <c r="C29" i="7"/>
  <c r="G29" i="7"/>
  <c r="K29" i="7"/>
  <c r="E30" i="7"/>
  <c r="I30" i="7"/>
  <c r="C31" i="7"/>
  <c r="G31" i="7"/>
  <c r="K31" i="7"/>
  <c r="E32" i="7"/>
  <c r="I32" i="7"/>
  <c r="C33" i="7"/>
  <c r="G33" i="7"/>
  <c r="K33" i="7"/>
  <c r="C35" i="7"/>
  <c r="G35" i="7"/>
  <c r="K35" i="7"/>
  <c r="H5" i="9"/>
  <c r="D6" i="9"/>
  <c r="F34" i="9"/>
  <c r="F30" i="9"/>
  <c r="F26" i="9"/>
  <c r="F22" i="9"/>
  <c r="F18" i="9"/>
  <c r="F33" i="9"/>
  <c r="F29" i="9"/>
  <c r="F25" i="9"/>
  <c r="F21" i="9"/>
  <c r="F17" i="9"/>
  <c r="F32" i="9"/>
  <c r="F28" i="9"/>
  <c r="F24" i="9"/>
  <c r="F20" i="9"/>
  <c r="F16" i="9"/>
  <c r="F12" i="9"/>
  <c r="F35" i="9"/>
  <c r="F31" i="9"/>
  <c r="F27" i="9"/>
  <c r="F23" i="9"/>
  <c r="F19" i="9"/>
  <c r="F15" i="9"/>
  <c r="F11" i="9"/>
  <c r="J34" i="9"/>
  <c r="J30" i="9"/>
  <c r="J26" i="9"/>
  <c r="J22" i="9"/>
  <c r="J18" i="9"/>
  <c r="J14" i="9"/>
  <c r="J33" i="9"/>
  <c r="J29" i="9"/>
  <c r="J25" i="9"/>
  <c r="J21" i="9"/>
  <c r="J17" i="9"/>
  <c r="J13" i="9"/>
  <c r="J32" i="9"/>
  <c r="J28" i="9"/>
  <c r="J24" i="9"/>
  <c r="J20" i="9"/>
  <c r="J16" i="9"/>
  <c r="J12" i="9"/>
  <c r="J35" i="9"/>
  <c r="J31" i="9"/>
  <c r="J27" i="9"/>
  <c r="J23" i="9"/>
  <c r="J19" i="9"/>
  <c r="J15" i="9"/>
  <c r="J11" i="9"/>
  <c r="H16" i="27"/>
  <c r="H17" i="27" s="1"/>
  <c r="I15" i="27"/>
  <c r="R17" i="27"/>
  <c r="R18" i="27" s="1"/>
  <c r="S16" i="27"/>
  <c r="F12" i="5"/>
  <c r="J12" i="5"/>
  <c r="F14" i="5"/>
  <c r="J14" i="5"/>
  <c r="F16" i="5"/>
  <c r="J16" i="5"/>
  <c r="F18" i="5"/>
  <c r="J18" i="5"/>
  <c r="F20" i="5"/>
  <c r="J20" i="5"/>
  <c r="F22" i="5"/>
  <c r="J22" i="5"/>
  <c r="F24" i="5"/>
  <c r="J24" i="5"/>
  <c r="F26" i="5"/>
  <c r="J26" i="5"/>
  <c r="F28" i="5"/>
  <c r="J28" i="5"/>
  <c r="F30" i="5"/>
  <c r="J30" i="5"/>
  <c r="F32" i="5"/>
  <c r="J32" i="5"/>
  <c r="F12" i="7"/>
  <c r="J12" i="7"/>
  <c r="F14" i="7"/>
  <c r="J14" i="7"/>
  <c r="F16" i="7"/>
  <c r="J16" i="7"/>
  <c r="F18" i="7"/>
  <c r="J18" i="7"/>
  <c r="F20" i="7"/>
  <c r="J20" i="7"/>
  <c r="F22" i="7"/>
  <c r="J22" i="7"/>
  <c r="F24" i="7"/>
  <c r="J24" i="7"/>
  <c r="F26" i="7"/>
  <c r="J26" i="7"/>
  <c r="F28" i="7"/>
  <c r="J28" i="7"/>
  <c r="F30" i="7"/>
  <c r="J30" i="7"/>
  <c r="F32" i="7"/>
  <c r="J32" i="7"/>
  <c r="E7" i="9"/>
  <c r="E6" i="9"/>
  <c r="I7" i="9"/>
  <c r="I6" i="9"/>
  <c r="I5" i="9"/>
  <c r="F17" i="27"/>
  <c r="F18" i="27" s="1"/>
  <c r="F19" i="27" s="1"/>
  <c r="F20" i="27" s="1"/>
  <c r="G16" i="27"/>
  <c r="C15" i="1"/>
  <c r="C23" i="1"/>
  <c r="C29" i="1"/>
  <c r="C10" i="2"/>
  <c r="C22" i="2"/>
  <c r="C26" i="2"/>
  <c r="C12" i="5"/>
  <c r="G12" i="5"/>
  <c r="K12" i="5"/>
  <c r="C14" i="5"/>
  <c r="G14" i="5"/>
  <c r="K14" i="5"/>
  <c r="C16" i="5"/>
  <c r="G16" i="5"/>
  <c r="K16" i="5"/>
  <c r="C18" i="5"/>
  <c r="G18" i="5"/>
  <c r="K18" i="5"/>
  <c r="C20" i="5"/>
  <c r="G20" i="5"/>
  <c r="K20" i="5"/>
  <c r="C22" i="5"/>
  <c r="G22" i="5"/>
  <c r="K22" i="5"/>
  <c r="C24" i="5"/>
  <c r="G24" i="5"/>
  <c r="K24" i="5"/>
  <c r="C26" i="5"/>
  <c r="G26" i="5"/>
  <c r="K26" i="5"/>
  <c r="C28" i="5"/>
  <c r="G28" i="5"/>
  <c r="K28" i="5"/>
  <c r="C30" i="5"/>
  <c r="G30" i="5"/>
  <c r="K30" i="5"/>
  <c r="C32" i="5"/>
  <c r="G32" i="5"/>
  <c r="K32" i="5"/>
  <c r="C12" i="7"/>
  <c r="G12" i="7"/>
  <c r="K12" i="7"/>
  <c r="C14" i="7"/>
  <c r="G14" i="7"/>
  <c r="K14" i="7"/>
  <c r="C16" i="7"/>
  <c r="G16" i="7"/>
  <c r="K16" i="7"/>
  <c r="C18" i="7"/>
  <c r="G18" i="7"/>
  <c r="K18" i="7"/>
  <c r="C20" i="7"/>
  <c r="G20" i="7"/>
  <c r="K20" i="7"/>
  <c r="C22" i="7"/>
  <c r="G22" i="7"/>
  <c r="K22" i="7"/>
  <c r="C24" i="7"/>
  <c r="G24" i="7"/>
  <c r="K24" i="7"/>
  <c r="C26" i="7"/>
  <c r="G26" i="7"/>
  <c r="K26" i="7"/>
  <c r="C28" i="7"/>
  <c r="G28" i="7"/>
  <c r="K28" i="7"/>
  <c r="C30" i="7"/>
  <c r="G30" i="7"/>
  <c r="K30" i="7"/>
  <c r="C32" i="7"/>
  <c r="G32" i="7"/>
  <c r="K32" i="7"/>
  <c r="F6" i="9"/>
  <c r="F5" i="9"/>
  <c r="J6" i="9"/>
  <c r="J5" i="9"/>
  <c r="E5" i="9"/>
  <c r="J13" i="27"/>
  <c r="J14" i="27" s="1"/>
  <c r="K12" i="27"/>
  <c r="V17" i="27"/>
  <c r="V18" i="27" s="1"/>
  <c r="V19" i="27" s="1"/>
  <c r="V20" i="27" s="1"/>
  <c r="W16" i="27"/>
  <c r="B17" i="27"/>
  <c r="B18" i="27" s="1"/>
  <c r="C16" i="27"/>
  <c r="D13" i="9"/>
  <c r="H13" i="9"/>
  <c r="C14" i="9"/>
  <c r="G14" i="9"/>
  <c r="K14" i="9"/>
  <c r="D17" i="9"/>
  <c r="H17" i="9"/>
  <c r="C18" i="9"/>
  <c r="G18" i="9"/>
  <c r="K18" i="9"/>
  <c r="D21" i="9"/>
  <c r="H21" i="9"/>
  <c r="C22" i="9"/>
  <c r="G22" i="9"/>
  <c r="K22" i="9"/>
  <c r="D25" i="9"/>
  <c r="H25" i="9"/>
  <c r="C26" i="9"/>
  <c r="G26" i="9"/>
  <c r="K26" i="9"/>
  <c r="D29" i="9"/>
  <c r="H29" i="9"/>
  <c r="C30" i="9"/>
  <c r="G30" i="9"/>
  <c r="K30" i="9"/>
  <c r="D33" i="9"/>
  <c r="H33" i="9"/>
  <c r="C34" i="9"/>
  <c r="G34" i="9"/>
  <c r="K34" i="9"/>
  <c r="F5" i="11"/>
  <c r="J5" i="11"/>
  <c r="E6" i="11"/>
  <c r="I6" i="11"/>
  <c r="F11" i="11"/>
  <c r="J11" i="11"/>
  <c r="E12" i="11"/>
  <c r="I12" i="11"/>
  <c r="D13" i="11"/>
  <c r="H13" i="11"/>
  <c r="C14" i="11"/>
  <c r="G14" i="11"/>
  <c r="K14" i="11"/>
  <c r="F15" i="11"/>
  <c r="J15" i="11"/>
  <c r="E16" i="11"/>
  <c r="I16" i="11"/>
  <c r="D17" i="11"/>
  <c r="H17" i="11"/>
  <c r="C18" i="11"/>
  <c r="G18" i="11"/>
  <c r="K18" i="11"/>
  <c r="F19" i="11"/>
  <c r="J19" i="11"/>
  <c r="E20" i="11"/>
  <c r="I20" i="11"/>
  <c r="D21" i="11"/>
  <c r="H21" i="11"/>
  <c r="C22" i="11"/>
  <c r="G22" i="11"/>
  <c r="K22" i="11"/>
  <c r="F23" i="11"/>
  <c r="J23" i="11"/>
  <c r="E24" i="11"/>
  <c r="I24" i="11"/>
  <c r="D25" i="11"/>
  <c r="H25" i="11"/>
  <c r="C26" i="11"/>
  <c r="G26" i="11"/>
  <c r="K26" i="11"/>
  <c r="F27" i="11"/>
  <c r="J27" i="11"/>
  <c r="E28" i="11"/>
  <c r="I28" i="11"/>
  <c r="D29" i="11"/>
  <c r="H29" i="11"/>
  <c r="C30" i="11"/>
  <c r="G30" i="11"/>
  <c r="K30" i="11"/>
  <c r="F31" i="11"/>
  <c r="J31" i="11"/>
  <c r="E32" i="11"/>
  <c r="I32" i="11"/>
  <c r="D33" i="11"/>
  <c r="H33" i="11"/>
  <c r="C34" i="11"/>
  <c r="G34" i="11"/>
  <c r="K34" i="11"/>
  <c r="F35" i="11"/>
  <c r="J35" i="11"/>
  <c r="C4" i="17"/>
  <c r="G4" i="17"/>
  <c r="B5" i="17"/>
  <c r="F5" i="17"/>
  <c r="J5" i="17"/>
  <c r="D10" i="17"/>
  <c r="H10" i="17"/>
  <c r="C11" i="17"/>
  <c r="G11" i="17"/>
  <c r="B12" i="17"/>
  <c r="F12" i="17"/>
  <c r="E13" i="17"/>
  <c r="I13" i="17"/>
  <c r="D14" i="17"/>
  <c r="H14" i="17"/>
  <c r="C15" i="17"/>
  <c r="G15" i="17"/>
  <c r="B16" i="17"/>
  <c r="F16" i="17"/>
  <c r="E17" i="17"/>
  <c r="I17" i="17"/>
  <c r="D18" i="17"/>
  <c r="H18" i="17"/>
  <c r="C19" i="17"/>
  <c r="G19" i="17"/>
  <c r="B20" i="17"/>
  <c r="F20" i="17"/>
  <c r="E21" i="17"/>
  <c r="I21" i="17"/>
  <c r="D22" i="17"/>
  <c r="H22" i="17"/>
  <c r="C23" i="17"/>
  <c r="G23" i="17"/>
  <c r="B24" i="17"/>
  <c r="F24" i="17"/>
  <c r="E25" i="17"/>
  <c r="I25" i="17"/>
  <c r="D26" i="17"/>
  <c r="H26" i="17"/>
  <c r="C27" i="17"/>
  <c r="G27" i="17"/>
  <c r="B28" i="17"/>
  <c r="F28" i="17"/>
  <c r="E29" i="17"/>
  <c r="I29" i="17"/>
  <c r="D30" i="17"/>
  <c r="H30" i="17"/>
  <c r="C31" i="17"/>
  <c r="G31" i="17"/>
  <c r="B32" i="17"/>
  <c r="F32" i="17"/>
  <c r="E33" i="17"/>
  <c r="I33" i="17"/>
  <c r="D34" i="17"/>
  <c r="H34" i="17"/>
  <c r="S6" i="26"/>
  <c r="I31" i="26"/>
  <c r="I27" i="26"/>
  <c r="I23" i="26"/>
  <c r="I19" i="26"/>
  <c r="I15" i="26"/>
  <c r="I11" i="26"/>
  <c r="I34" i="26"/>
  <c r="I30" i="26"/>
  <c r="I26" i="26"/>
  <c r="I22" i="26"/>
  <c r="I18" i="26"/>
  <c r="I14" i="26"/>
  <c r="I10" i="26"/>
  <c r="Q31" i="26"/>
  <c r="Q27" i="26"/>
  <c r="Q23" i="26"/>
  <c r="Q19" i="26"/>
  <c r="Q15" i="26"/>
  <c r="Q11" i="26"/>
  <c r="Q34" i="26"/>
  <c r="Q30" i="26"/>
  <c r="Q26" i="26"/>
  <c r="Q22" i="26"/>
  <c r="Q18" i="26"/>
  <c r="Q14" i="26"/>
  <c r="Q10" i="26"/>
  <c r="Q12" i="26"/>
  <c r="O13" i="26"/>
  <c r="I16" i="26"/>
  <c r="G17" i="26"/>
  <c r="Q20" i="26"/>
  <c r="O21" i="26"/>
  <c r="I24" i="26"/>
  <c r="G25" i="26"/>
  <c r="Q28" i="26"/>
  <c r="O29" i="26"/>
  <c r="I32" i="26"/>
  <c r="G33" i="26"/>
  <c r="C6" i="27"/>
  <c r="K6" i="27"/>
  <c r="S6" i="27"/>
  <c r="C4" i="27"/>
  <c r="S4" i="27"/>
  <c r="E6" i="27"/>
  <c r="U6" i="27"/>
  <c r="G19" i="27"/>
  <c r="G17" i="27"/>
  <c r="G15" i="27"/>
  <c r="G13" i="27"/>
  <c r="G11" i="27"/>
  <c r="O19" i="27"/>
  <c r="O17" i="27"/>
  <c r="O15" i="27"/>
  <c r="O13" i="27"/>
  <c r="O11" i="27"/>
  <c r="W19" i="27"/>
  <c r="W17" i="27"/>
  <c r="W15" i="27"/>
  <c r="W13" i="27"/>
  <c r="W11" i="27"/>
  <c r="W10" i="27"/>
  <c r="M11" i="27"/>
  <c r="M27" i="27"/>
  <c r="L28" i="28"/>
  <c r="L29" i="28" s="1"/>
  <c r="L30" i="28" s="1"/>
  <c r="L31" i="28" s="1"/>
  <c r="L32" i="28" s="1"/>
  <c r="L33" i="28" s="1"/>
  <c r="L34" i="28" s="1"/>
  <c r="M27" i="28"/>
  <c r="D14" i="9"/>
  <c r="H14" i="9"/>
  <c r="D18" i="9"/>
  <c r="H18" i="9"/>
  <c r="D22" i="9"/>
  <c r="H22" i="9"/>
  <c r="C23" i="9"/>
  <c r="G23" i="9"/>
  <c r="K23" i="9"/>
  <c r="D26" i="9"/>
  <c r="H26" i="9"/>
  <c r="C27" i="9"/>
  <c r="G27" i="9"/>
  <c r="K27" i="9"/>
  <c r="D30" i="9"/>
  <c r="H30" i="9"/>
  <c r="C31" i="9"/>
  <c r="G31" i="9"/>
  <c r="K31" i="9"/>
  <c r="D34" i="9"/>
  <c r="H34" i="9"/>
  <c r="C35" i="9"/>
  <c r="G35" i="9"/>
  <c r="K35" i="9"/>
  <c r="F6" i="11"/>
  <c r="J6" i="11"/>
  <c r="E7" i="11"/>
  <c r="I7" i="11"/>
  <c r="F12" i="11"/>
  <c r="J12" i="11"/>
  <c r="E13" i="11"/>
  <c r="I13" i="11"/>
  <c r="D14" i="11"/>
  <c r="H14" i="11"/>
  <c r="F16" i="11"/>
  <c r="J16" i="11"/>
  <c r="E17" i="11"/>
  <c r="I17" i="11"/>
  <c r="D18" i="11"/>
  <c r="H18" i="11"/>
  <c r="F20" i="11"/>
  <c r="J20" i="11"/>
  <c r="E21" i="11"/>
  <c r="I21" i="11"/>
  <c r="D22" i="11"/>
  <c r="H22" i="11"/>
  <c r="C23" i="11"/>
  <c r="G23" i="11"/>
  <c r="K23" i="11"/>
  <c r="F24" i="11"/>
  <c r="J24" i="11"/>
  <c r="E25" i="11"/>
  <c r="I25" i="11"/>
  <c r="D26" i="11"/>
  <c r="H26" i="11"/>
  <c r="C27" i="11"/>
  <c r="G27" i="11"/>
  <c r="K27" i="11"/>
  <c r="F28" i="11"/>
  <c r="J28" i="11"/>
  <c r="E29" i="11"/>
  <c r="I29" i="11"/>
  <c r="D30" i="11"/>
  <c r="H30" i="11"/>
  <c r="C31" i="11"/>
  <c r="G31" i="11"/>
  <c r="K31" i="11"/>
  <c r="F32" i="11"/>
  <c r="J32" i="11"/>
  <c r="E33" i="11"/>
  <c r="I33" i="11"/>
  <c r="D34" i="11"/>
  <c r="H34" i="11"/>
  <c r="C35" i="11"/>
  <c r="G35" i="11"/>
  <c r="K35" i="11"/>
  <c r="C5" i="17"/>
  <c r="G5" i="17"/>
  <c r="E10" i="17"/>
  <c r="I10" i="17"/>
  <c r="D11" i="17"/>
  <c r="H11" i="17"/>
  <c r="C12" i="17"/>
  <c r="G12" i="17"/>
  <c r="B13" i="17"/>
  <c r="F13" i="17"/>
  <c r="E14" i="17"/>
  <c r="I14" i="17"/>
  <c r="D15" i="17"/>
  <c r="H15" i="17"/>
  <c r="C16" i="17"/>
  <c r="G16" i="17"/>
  <c r="B17" i="17"/>
  <c r="F17" i="17"/>
  <c r="E18" i="17"/>
  <c r="I18" i="17"/>
  <c r="D19" i="17"/>
  <c r="H19" i="17"/>
  <c r="C20" i="17"/>
  <c r="G20" i="17"/>
  <c r="B21" i="17"/>
  <c r="F21" i="17"/>
  <c r="E22" i="17"/>
  <c r="I22" i="17"/>
  <c r="D23" i="17"/>
  <c r="H23" i="17"/>
  <c r="C24" i="17"/>
  <c r="G24" i="17"/>
  <c r="B25" i="17"/>
  <c r="F25" i="17"/>
  <c r="E26" i="17"/>
  <c r="I26" i="17"/>
  <c r="D27" i="17"/>
  <c r="H27" i="17"/>
  <c r="C28" i="17"/>
  <c r="G28" i="17"/>
  <c r="B29" i="17"/>
  <c r="F29" i="17"/>
  <c r="E30" i="17"/>
  <c r="I30" i="17"/>
  <c r="D31" i="17"/>
  <c r="H31" i="17"/>
  <c r="C32" i="17"/>
  <c r="G32" i="17"/>
  <c r="B33" i="17"/>
  <c r="F33" i="17"/>
  <c r="E34" i="17"/>
  <c r="I34" i="17"/>
  <c r="C5" i="26"/>
  <c r="S5" i="26"/>
  <c r="K6" i="26"/>
  <c r="O10" i="26"/>
  <c r="I12" i="26"/>
  <c r="Q13" i="26"/>
  <c r="O14" i="26"/>
  <c r="I17" i="26"/>
  <c r="G18" i="26"/>
  <c r="Q21" i="26"/>
  <c r="O22" i="26"/>
  <c r="I25" i="26"/>
  <c r="G26" i="26"/>
  <c r="Q29" i="26"/>
  <c r="O30" i="26"/>
  <c r="I33" i="26"/>
  <c r="G34" i="26"/>
  <c r="M5" i="27"/>
  <c r="E4" i="27"/>
  <c r="U4" i="27"/>
  <c r="K5" i="27"/>
  <c r="P6" i="27"/>
  <c r="Q6" i="27" s="1"/>
  <c r="Q5" i="27"/>
  <c r="M10" i="27"/>
  <c r="C12" i="27"/>
  <c r="S12" i="27"/>
  <c r="E13" i="27"/>
  <c r="M13" i="27"/>
  <c r="U13" i="27"/>
  <c r="G14" i="27"/>
  <c r="O14" i="27"/>
  <c r="W14" i="27"/>
  <c r="E17" i="27"/>
  <c r="M17" i="27"/>
  <c r="U17" i="27"/>
  <c r="G18" i="27"/>
  <c r="O18" i="27"/>
  <c r="W18" i="27"/>
  <c r="E21" i="27"/>
  <c r="M21" i="27"/>
  <c r="U21" i="27"/>
  <c r="E25" i="27"/>
  <c r="U25" i="27"/>
  <c r="C13" i="28"/>
  <c r="B14" i="28"/>
  <c r="B15" i="28" s="1"/>
  <c r="O12" i="28"/>
  <c r="N13" i="28"/>
  <c r="D19" i="9"/>
  <c r="H19" i="9"/>
  <c r="D23" i="9"/>
  <c r="H23" i="9"/>
  <c r="D27" i="9"/>
  <c r="H27" i="9"/>
  <c r="C28" i="9"/>
  <c r="G28" i="9"/>
  <c r="K28" i="9"/>
  <c r="D31" i="9"/>
  <c r="H31" i="9"/>
  <c r="C32" i="9"/>
  <c r="G32" i="9"/>
  <c r="K32" i="9"/>
  <c r="D35" i="9"/>
  <c r="H35" i="9"/>
  <c r="F13" i="11"/>
  <c r="J13" i="11"/>
  <c r="E14" i="11"/>
  <c r="I14" i="11"/>
  <c r="D15" i="11"/>
  <c r="H15" i="11"/>
  <c r="F17" i="11"/>
  <c r="J17" i="11"/>
  <c r="E18" i="11"/>
  <c r="I18" i="11"/>
  <c r="D19" i="11"/>
  <c r="H19" i="11"/>
  <c r="F21" i="11"/>
  <c r="J21" i="11"/>
  <c r="E22" i="11"/>
  <c r="I22" i="11"/>
  <c r="D23" i="11"/>
  <c r="H23" i="11"/>
  <c r="C24" i="11"/>
  <c r="G24" i="11"/>
  <c r="K24" i="11"/>
  <c r="F25" i="11"/>
  <c r="J25" i="11"/>
  <c r="E26" i="11"/>
  <c r="I26" i="11"/>
  <c r="D27" i="11"/>
  <c r="H27" i="11"/>
  <c r="C28" i="11"/>
  <c r="G28" i="11"/>
  <c r="K28" i="11"/>
  <c r="F29" i="11"/>
  <c r="J29" i="11"/>
  <c r="E30" i="11"/>
  <c r="I30" i="11"/>
  <c r="D31" i="11"/>
  <c r="H31" i="11"/>
  <c r="C32" i="11"/>
  <c r="G32" i="11"/>
  <c r="K32" i="11"/>
  <c r="F33" i="11"/>
  <c r="J33" i="11"/>
  <c r="E34" i="11"/>
  <c r="I34" i="11"/>
  <c r="D35" i="11"/>
  <c r="H35" i="11"/>
  <c r="B10" i="17"/>
  <c r="F10" i="17"/>
  <c r="C13" i="17"/>
  <c r="G13" i="17"/>
  <c r="B14" i="17"/>
  <c r="F14" i="17"/>
  <c r="C17" i="17"/>
  <c r="G17" i="17"/>
  <c r="B18" i="17"/>
  <c r="F18" i="17"/>
  <c r="C21" i="17"/>
  <c r="G21" i="17"/>
  <c r="B22" i="17"/>
  <c r="F22" i="17"/>
  <c r="C25" i="17"/>
  <c r="G25" i="17"/>
  <c r="B26" i="17"/>
  <c r="F26" i="17"/>
  <c r="E27" i="17"/>
  <c r="I27" i="17"/>
  <c r="D28" i="17"/>
  <c r="H28" i="17"/>
  <c r="C29" i="17"/>
  <c r="G29" i="17"/>
  <c r="B30" i="17"/>
  <c r="F30" i="17"/>
  <c r="E31" i="17"/>
  <c r="I31" i="17"/>
  <c r="D32" i="17"/>
  <c r="H32" i="17"/>
  <c r="C33" i="17"/>
  <c r="G33" i="17"/>
  <c r="B34" i="17"/>
  <c r="F34" i="17"/>
  <c r="G6" i="26"/>
  <c r="G5" i="26"/>
  <c r="O6" i="26"/>
  <c r="O5" i="26"/>
  <c r="G4" i="26"/>
  <c r="G13" i="26"/>
  <c r="O17" i="26"/>
  <c r="G21" i="26"/>
  <c r="O25" i="26"/>
  <c r="U11" i="27"/>
  <c r="D20" i="9"/>
  <c r="H20" i="9"/>
  <c r="D24" i="9"/>
  <c r="H24" i="9"/>
  <c r="D28" i="9"/>
  <c r="H28" i="9"/>
  <c r="C29" i="9"/>
  <c r="G29" i="9"/>
  <c r="K29" i="9"/>
  <c r="E11" i="11"/>
  <c r="I11" i="11"/>
  <c r="F14" i="11"/>
  <c r="J14" i="11"/>
  <c r="E15" i="11"/>
  <c r="I15" i="11"/>
  <c r="D16" i="11"/>
  <c r="H16" i="11"/>
  <c r="F18" i="11"/>
  <c r="J18" i="11"/>
  <c r="E19" i="11"/>
  <c r="I19" i="11"/>
  <c r="D20" i="11"/>
  <c r="H20" i="11"/>
  <c r="F22" i="11"/>
  <c r="J22" i="11"/>
  <c r="E23" i="11"/>
  <c r="I23" i="11"/>
  <c r="D24" i="11"/>
  <c r="H24" i="11"/>
  <c r="C25" i="11"/>
  <c r="G25" i="11"/>
  <c r="K25" i="11"/>
  <c r="F26" i="11"/>
  <c r="J26" i="11"/>
  <c r="E27" i="11"/>
  <c r="I27" i="11"/>
  <c r="D28" i="11"/>
  <c r="H28" i="11"/>
  <c r="C29" i="11"/>
  <c r="G29" i="11"/>
  <c r="K29" i="11"/>
  <c r="F30" i="11"/>
  <c r="J30" i="11"/>
  <c r="E31" i="11"/>
  <c r="I31" i="11"/>
  <c r="C10" i="17"/>
  <c r="G10" i="17"/>
  <c r="C14" i="17"/>
  <c r="G14" i="17"/>
  <c r="B15" i="17"/>
  <c r="F15" i="17"/>
  <c r="C18" i="17"/>
  <c r="G18" i="17"/>
  <c r="B19" i="17"/>
  <c r="F19" i="17"/>
  <c r="C22" i="17"/>
  <c r="G22" i="17"/>
  <c r="B23" i="17"/>
  <c r="F23" i="17"/>
  <c r="C26" i="17"/>
  <c r="G26" i="17"/>
  <c r="B27" i="17"/>
  <c r="F27" i="17"/>
  <c r="C30" i="17"/>
  <c r="G30" i="17"/>
  <c r="I5" i="26"/>
  <c r="I4" i="26"/>
  <c r="Q5" i="26"/>
  <c r="Q4" i="26"/>
  <c r="Q6" i="26"/>
  <c r="G32" i="26"/>
  <c r="G28" i="26"/>
  <c r="G24" i="26"/>
  <c r="G20" i="26"/>
  <c r="G16" i="26"/>
  <c r="G12" i="26"/>
  <c r="G31" i="26"/>
  <c r="G27" i="26"/>
  <c r="G23" i="26"/>
  <c r="G19" i="26"/>
  <c r="G15" i="26"/>
  <c r="G11" i="26"/>
  <c r="O32" i="26"/>
  <c r="O28" i="26"/>
  <c r="O24" i="26"/>
  <c r="O20" i="26"/>
  <c r="O16" i="26"/>
  <c r="O12" i="26"/>
  <c r="O31" i="26"/>
  <c r="O27" i="26"/>
  <c r="O23" i="26"/>
  <c r="O19" i="26"/>
  <c r="O15" i="26"/>
  <c r="O11" i="26"/>
  <c r="G10" i="26"/>
  <c r="G14" i="26"/>
  <c r="O18" i="26"/>
  <c r="G22" i="26"/>
  <c r="O26" i="26"/>
  <c r="G30" i="26"/>
  <c r="O34" i="26"/>
  <c r="H6" i="27"/>
  <c r="I6" i="27" s="1"/>
  <c r="I5" i="27"/>
  <c r="E34" i="27"/>
  <c r="E32" i="27"/>
  <c r="E33" i="27"/>
  <c r="E29" i="27"/>
  <c r="E31" i="27"/>
  <c r="E30" i="27"/>
  <c r="E28" i="27"/>
  <c r="E26" i="27"/>
  <c r="E24" i="27"/>
  <c r="E22" i="27"/>
  <c r="E20" i="27"/>
  <c r="E18" i="27"/>
  <c r="E16" i="27"/>
  <c r="E14" i="27"/>
  <c r="E12" i="27"/>
  <c r="E10" i="27"/>
  <c r="M34" i="27"/>
  <c r="M32" i="27"/>
  <c r="M30" i="27"/>
  <c r="M33" i="27"/>
  <c r="M29" i="27"/>
  <c r="M28" i="27"/>
  <c r="M26" i="27"/>
  <c r="M24" i="27"/>
  <c r="M22" i="27"/>
  <c r="M20" i="27"/>
  <c r="M18" i="27"/>
  <c r="M16" i="27"/>
  <c r="M14" i="27"/>
  <c r="M12" i="27"/>
  <c r="M31" i="27"/>
  <c r="U34" i="27"/>
  <c r="U32" i="27"/>
  <c r="U30" i="27"/>
  <c r="U33" i="27"/>
  <c r="U29" i="27"/>
  <c r="U31" i="27"/>
  <c r="U28" i="27"/>
  <c r="U26" i="27"/>
  <c r="U24" i="27"/>
  <c r="U22" i="27"/>
  <c r="U20" i="27"/>
  <c r="U18" i="27"/>
  <c r="U16" i="27"/>
  <c r="U14" i="27"/>
  <c r="U12" i="27"/>
  <c r="U10" i="27"/>
  <c r="E11" i="27"/>
  <c r="E15" i="27"/>
  <c r="M15" i="27"/>
  <c r="U15" i="27"/>
  <c r="E19" i="27"/>
  <c r="M19" i="27"/>
  <c r="U19" i="27"/>
  <c r="E23" i="27"/>
  <c r="M23" i="27"/>
  <c r="U23" i="27"/>
  <c r="E28" i="28"/>
  <c r="D29" i="28"/>
  <c r="C13" i="26"/>
  <c r="K13" i="26"/>
  <c r="S13" i="26"/>
  <c r="E16" i="26"/>
  <c r="M16" i="26"/>
  <c r="C17" i="26"/>
  <c r="K17" i="26"/>
  <c r="S17" i="26"/>
  <c r="E20" i="26"/>
  <c r="M20" i="26"/>
  <c r="C21" i="26"/>
  <c r="K21" i="26"/>
  <c r="S21" i="26"/>
  <c r="E24" i="26"/>
  <c r="M24" i="26"/>
  <c r="C25" i="26"/>
  <c r="K25" i="26"/>
  <c r="S25" i="26"/>
  <c r="E28" i="26"/>
  <c r="M28" i="26"/>
  <c r="C29" i="26"/>
  <c r="K29" i="26"/>
  <c r="S29" i="26"/>
  <c r="E32" i="26"/>
  <c r="M32" i="26"/>
  <c r="C33" i="26"/>
  <c r="K33" i="26"/>
  <c r="S33" i="26"/>
  <c r="G4" i="27"/>
  <c r="O4" i="27"/>
  <c r="W4" i="27"/>
  <c r="Q10" i="27"/>
  <c r="C4" i="28"/>
  <c r="C6" i="28"/>
  <c r="C5" i="28"/>
  <c r="K4" i="28"/>
  <c r="K6" i="28"/>
  <c r="K5" i="28"/>
  <c r="S4" i="28"/>
  <c r="S6" i="28"/>
  <c r="S5" i="28"/>
  <c r="I5" i="28"/>
  <c r="C10" i="28"/>
  <c r="M34" i="28"/>
  <c r="M30" i="28"/>
  <c r="M31" i="28"/>
  <c r="M32" i="28"/>
  <c r="M28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33" i="28"/>
  <c r="M29" i="28"/>
  <c r="U34" i="28"/>
  <c r="U32" i="28"/>
  <c r="U28" i="28"/>
  <c r="U33" i="28"/>
  <c r="U30" i="28"/>
  <c r="U26" i="28"/>
  <c r="U25" i="28"/>
  <c r="U24" i="28"/>
  <c r="U23" i="28"/>
  <c r="U22" i="28"/>
  <c r="U21" i="28"/>
  <c r="U20" i="28"/>
  <c r="U19" i="28"/>
  <c r="U18" i="28"/>
  <c r="U17" i="28"/>
  <c r="U16" i="28"/>
  <c r="U15" i="28"/>
  <c r="U14" i="28"/>
  <c r="U13" i="28"/>
  <c r="U12" i="28"/>
  <c r="U11" i="28"/>
  <c r="U10" i="28"/>
  <c r="U31" i="28"/>
  <c r="U27" i="28"/>
  <c r="K11" i="28"/>
  <c r="F13" i="28"/>
  <c r="U29" i="28"/>
  <c r="C10" i="26"/>
  <c r="K10" i="26"/>
  <c r="S10" i="26"/>
  <c r="E13" i="26"/>
  <c r="M13" i="26"/>
  <c r="C14" i="26"/>
  <c r="K14" i="26"/>
  <c r="S14" i="26"/>
  <c r="E17" i="26"/>
  <c r="M17" i="26"/>
  <c r="C18" i="26"/>
  <c r="K18" i="26"/>
  <c r="S18" i="26"/>
  <c r="E21" i="26"/>
  <c r="M21" i="26"/>
  <c r="C22" i="26"/>
  <c r="K22" i="26"/>
  <c r="S22" i="26"/>
  <c r="E25" i="26"/>
  <c r="M25" i="26"/>
  <c r="C26" i="26"/>
  <c r="K26" i="26"/>
  <c r="S26" i="26"/>
  <c r="E29" i="26"/>
  <c r="M29" i="26"/>
  <c r="C30" i="26"/>
  <c r="K30" i="26"/>
  <c r="S30" i="26"/>
  <c r="K10" i="27"/>
  <c r="S10" i="27"/>
  <c r="C11" i="27"/>
  <c r="K11" i="27"/>
  <c r="S11" i="27"/>
  <c r="I12" i="27"/>
  <c r="Q12" i="27"/>
  <c r="C13" i="27"/>
  <c r="K13" i="27"/>
  <c r="S13" i="27"/>
  <c r="I14" i="27"/>
  <c r="Q14" i="27"/>
  <c r="C15" i="27"/>
  <c r="S15" i="27"/>
  <c r="I16" i="27"/>
  <c r="C17" i="27"/>
  <c r="S17" i="27"/>
  <c r="I6" i="28"/>
  <c r="Q6" i="28"/>
  <c r="C12" i="28"/>
  <c r="K12" i="28"/>
  <c r="S12" i="28"/>
  <c r="C14" i="28"/>
  <c r="K14" i="28"/>
  <c r="S14" i="28"/>
  <c r="K16" i="28"/>
  <c r="S16" i="28"/>
  <c r="K18" i="28"/>
  <c r="S18" i="28"/>
  <c r="K20" i="28"/>
  <c r="S20" i="28"/>
  <c r="K22" i="28"/>
  <c r="S22" i="28"/>
  <c r="S24" i="28"/>
  <c r="M26" i="28"/>
  <c r="G6" i="28"/>
  <c r="O6" i="28"/>
  <c r="Q5" i="28"/>
  <c r="K34" i="28"/>
  <c r="K33" i="28"/>
  <c r="K32" i="28"/>
  <c r="K31" i="28"/>
  <c r="K30" i="28"/>
  <c r="K29" i="28"/>
  <c r="K28" i="28"/>
  <c r="K27" i="28"/>
  <c r="K26" i="28"/>
  <c r="K10" i="28"/>
  <c r="S34" i="28"/>
  <c r="S33" i="28"/>
  <c r="S32" i="28"/>
  <c r="S31" i="28"/>
  <c r="S30" i="28"/>
  <c r="S29" i="28"/>
  <c r="S28" i="28"/>
  <c r="S27" i="28"/>
  <c r="S26" i="28"/>
  <c r="S10" i="28"/>
  <c r="K13" i="28"/>
  <c r="S13" i="28"/>
  <c r="K15" i="28"/>
  <c r="S15" i="28"/>
  <c r="K17" i="28"/>
  <c r="S17" i="28"/>
  <c r="K19" i="28"/>
  <c r="S19" i="28"/>
  <c r="K21" i="28"/>
  <c r="S21" i="28"/>
  <c r="K23" i="28"/>
  <c r="S23" i="28"/>
  <c r="K25" i="28"/>
  <c r="S25" i="28"/>
  <c r="Q29" i="28"/>
  <c r="P30" i="28"/>
  <c r="G5" i="28"/>
  <c r="O5" i="28"/>
  <c r="H12" i="28"/>
  <c r="E27" i="28"/>
  <c r="Q28" i="28"/>
  <c r="F11" i="29"/>
  <c r="N11" i="29"/>
  <c r="N12" i="29" s="1"/>
  <c r="B12" i="29"/>
  <c r="B13" i="29" s="1"/>
  <c r="J12" i="29"/>
  <c r="J13" i="29" s="1"/>
  <c r="R12" i="29"/>
  <c r="R13" i="29" s="1"/>
  <c r="R14" i="29" s="1"/>
  <c r="N13" i="29"/>
  <c r="N14" i="29" s="1"/>
  <c r="B14" i="29"/>
  <c r="B15" i="29" s="1"/>
  <c r="J14" i="29"/>
  <c r="J15" i="29" s="1"/>
  <c r="J16" i="29" s="1"/>
  <c r="N15" i="29"/>
  <c r="N16" i="29" s="1"/>
  <c r="B16" i="29"/>
  <c r="N17" i="29"/>
  <c r="N18" i="29" s="1"/>
  <c r="N19" i="29" s="1"/>
  <c r="P5" i="30"/>
  <c r="L6" i="30"/>
  <c r="M6" i="30" s="1"/>
  <c r="N11" i="30"/>
  <c r="E10" i="28"/>
  <c r="E11" i="28"/>
  <c r="Q11" i="28"/>
  <c r="E12" i="28"/>
  <c r="Q12" i="28"/>
  <c r="E13" i="28"/>
  <c r="Q13" i="28"/>
  <c r="E14" i="28"/>
  <c r="Q14" i="28"/>
  <c r="E15" i="28"/>
  <c r="Q15" i="28"/>
  <c r="E16" i="28"/>
  <c r="Q16" i="28"/>
  <c r="E17" i="28"/>
  <c r="Q17" i="28"/>
  <c r="E18" i="28"/>
  <c r="Q18" i="28"/>
  <c r="E19" i="28"/>
  <c r="Q19" i="28"/>
  <c r="E20" i="28"/>
  <c r="Q20" i="28"/>
  <c r="E21" i="28"/>
  <c r="Q21" i="28"/>
  <c r="E22" i="28"/>
  <c r="Q22" i="28"/>
  <c r="E23" i="28"/>
  <c r="Q23" i="28"/>
  <c r="E24" i="28"/>
  <c r="Q24" i="28"/>
  <c r="E25" i="28"/>
  <c r="Q25" i="28"/>
  <c r="E26" i="28"/>
  <c r="Q27" i="28"/>
  <c r="E6" i="29"/>
  <c r="M6" i="29"/>
  <c r="U6" i="29"/>
  <c r="C5" i="29"/>
  <c r="S5" i="29"/>
  <c r="E10" i="29"/>
  <c r="U10" i="29"/>
  <c r="U4" i="30"/>
  <c r="R13" i="30"/>
  <c r="S13" i="30" s="1"/>
  <c r="R14" i="30"/>
  <c r="R12" i="30"/>
  <c r="S12" i="30" s="1"/>
  <c r="R11" i="30"/>
  <c r="S11" i="30" s="1"/>
  <c r="R15" i="30"/>
  <c r="R16" i="30" s="1"/>
  <c r="F12" i="29"/>
  <c r="F13" i="29" s="1"/>
  <c r="B17" i="29"/>
  <c r="B18" i="29" s="1"/>
  <c r="C6" i="30"/>
  <c r="C5" i="30"/>
  <c r="C4" i="30"/>
  <c r="K6" i="30"/>
  <c r="K5" i="30"/>
  <c r="K4" i="30"/>
  <c r="S6" i="30"/>
  <c r="S5" i="30"/>
  <c r="S4" i="30"/>
  <c r="G11" i="30"/>
  <c r="O11" i="30"/>
  <c r="O10" i="30"/>
  <c r="B13" i="30"/>
  <c r="C13" i="30" s="1"/>
  <c r="B11" i="30"/>
  <c r="C11" i="30" s="1"/>
  <c r="G10" i="30"/>
  <c r="B12" i="30"/>
  <c r="C12" i="30" s="1"/>
  <c r="I6" i="29"/>
  <c r="I5" i="29"/>
  <c r="I4" i="29"/>
  <c r="Q6" i="29"/>
  <c r="Q5" i="29"/>
  <c r="Q4" i="29"/>
  <c r="O5" i="29"/>
  <c r="G12" i="29"/>
  <c r="G11" i="29"/>
  <c r="G10" i="29"/>
  <c r="O18" i="29"/>
  <c r="O17" i="29"/>
  <c r="O16" i="29"/>
  <c r="O15" i="29"/>
  <c r="O14" i="29"/>
  <c r="O13" i="29"/>
  <c r="O12" i="29"/>
  <c r="O11" i="29"/>
  <c r="O10" i="29"/>
  <c r="M10" i="29"/>
  <c r="I5" i="30"/>
  <c r="I10" i="30"/>
  <c r="Q10" i="30"/>
  <c r="C10" i="30"/>
  <c r="N12" i="30"/>
  <c r="O12" i="30" s="1"/>
  <c r="E4" i="29"/>
  <c r="M4" i="29"/>
  <c r="U4" i="29"/>
  <c r="E5" i="29"/>
  <c r="M5" i="29"/>
  <c r="U5" i="29"/>
  <c r="C10" i="29"/>
  <c r="K10" i="29"/>
  <c r="S10" i="29"/>
  <c r="C11" i="29"/>
  <c r="K11" i="29"/>
  <c r="S11" i="29"/>
  <c r="C12" i="29"/>
  <c r="K12" i="29"/>
  <c r="S12" i="29"/>
  <c r="C13" i="29"/>
  <c r="K13" i="29"/>
  <c r="S13" i="29"/>
  <c r="C14" i="29"/>
  <c r="K14" i="29"/>
  <c r="C15" i="29"/>
  <c r="K15" i="29"/>
  <c r="C16" i="29"/>
  <c r="C17" i="29"/>
  <c r="D11" i="29"/>
  <c r="E11" i="29" s="1"/>
  <c r="H11" i="29"/>
  <c r="I11" i="29" s="1"/>
  <c r="L11" i="29"/>
  <c r="M11" i="29" s="1"/>
  <c r="P11" i="29"/>
  <c r="Q11" i="29" s="1"/>
  <c r="T11" i="29"/>
  <c r="U11" i="29" s="1"/>
  <c r="D12" i="29"/>
  <c r="E12" i="29" s="1"/>
  <c r="H12" i="29"/>
  <c r="I12" i="29" s="1"/>
  <c r="P12" i="29"/>
  <c r="Q12" i="29" s="1"/>
  <c r="T12" i="29"/>
  <c r="U12" i="29" s="1"/>
  <c r="D13" i="29"/>
  <c r="E13" i="29" s="1"/>
  <c r="P13" i="29"/>
  <c r="Q13" i="29" s="1"/>
  <c r="T13" i="29"/>
  <c r="U13" i="29" s="1"/>
  <c r="P14" i="29"/>
  <c r="Q14" i="29" s="1"/>
  <c r="O6" i="30"/>
  <c r="F12" i="30"/>
  <c r="F13" i="30" s="1"/>
  <c r="F14" i="30" s="1"/>
  <c r="J13" i="30"/>
  <c r="K13" i="30" s="1"/>
  <c r="J14" i="30"/>
  <c r="D11" i="30"/>
  <c r="D12" i="30" s="1"/>
  <c r="E12" i="30" s="1"/>
  <c r="H11" i="30"/>
  <c r="I11" i="30" s="1"/>
  <c r="L11" i="30"/>
  <c r="P11" i="30"/>
  <c r="Q11" i="30" s="1"/>
  <c r="T11" i="30"/>
  <c r="H12" i="30"/>
  <c r="I12" i="30" s="1"/>
  <c r="L12" i="30"/>
  <c r="L13" i="30" s="1"/>
  <c r="P12" i="30"/>
  <c r="Q12" i="30" s="1"/>
  <c r="T12" i="30"/>
  <c r="T13" i="30" s="1"/>
  <c r="T14" i="30" s="1"/>
  <c r="U14" i="30" s="1"/>
  <c r="D13" i="30"/>
  <c r="D14" i="30" s="1"/>
  <c r="E14" i="30" s="1"/>
  <c r="P13" i="30"/>
  <c r="S15" i="30"/>
  <c r="G4" i="30"/>
  <c r="O4" i="30"/>
  <c r="G5" i="30"/>
  <c r="O5" i="30"/>
  <c r="E10" i="30"/>
  <c r="M10" i="30"/>
  <c r="U10" i="30"/>
  <c r="M11" i="30"/>
  <c r="U11" i="30"/>
  <c r="U12" i="30"/>
  <c r="E13" i="30"/>
  <c r="S14" i="30"/>
  <c r="L14" i="30" l="1"/>
  <c r="M13" i="30"/>
  <c r="T15" i="30"/>
  <c r="M12" i="30"/>
  <c r="E11" i="30"/>
  <c r="U13" i="30"/>
  <c r="F15" i="30"/>
  <c r="G14" i="30"/>
  <c r="N20" i="29"/>
  <c r="O19" i="29"/>
  <c r="P14" i="30"/>
  <c r="Q13" i="30"/>
  <c r="J17" i="29"/>
  <c r="K16" i="29"/>
  <c r="D15" i="30"/>
  <c r="H13" i="30"/>
  <c r="C18" i="29"/>
  <c r="B19" i="29"/>
  <c r="R15" i="29"/>
  <c r="S14" i="29"/>
  <c r="K14" i="30"/>
  <c r="J15" i="30"/>
  <c r="F14" i="29"/>
  <c r="G13" i="29"/>
  <c r="S16" i="30"/>
  <c r="R17" i="30"/>
  <c r="B14" i="30"/>
  <c r="G13" i="30"/>
  <c r="F21" i="27"/>
  <c r="G20" i="27"/>
  <c r="N21" i="27"/>
  <c r="O20" i="27"/>
  <c r="P15" i="29"/>
  <c r="T14" i="29"/>
  <c r="D14" i="29"/>
  <c r="H13" i="29"/>
  <c r="L12" i="29"/>
  <c r="N13" i="30"/>
  <c r="P31" i="28"/>
  <c r="Q30" i="28"/>
  <c r="D30" i="28"/>
  <c r="E29" i="28"/>
  <c r="N14" i="28"/>
  <c r="O13" i="28"/>
  <c r="B19" i="27"/>
  <c r="C18" i="27"/>
  <c r="J15" i="27"/>
  <c r="K14" i="27"/>
  <c r="H18" i="27"/>
  <c r="I17" i="27"/>
  <c r="G12" i="30"/>
  <c r="P6" i="30"/>
  <c r="Q6" i="30" s="1"/>
  <c r="Q5" i="30"/>
  <c r="I12" i="28"/>
  <c r="H13" i="28"/>
  <c r="P16" i="27"/>
  <c r="Q15" i="27"/>
  <c r="F14" i="28"/>
  <c r="G13" i="28"/>
  <c r="C15" i="28"/>
  <c r="B16" i="28"/>
  <c r="V21" i="27"/>
  <c r="W20" i="27"/>
  <c r="R19" i="27"/>
  <c r="S18" i="27"/>
  <c r="G14" i="28" l="1"/>
  <c r="F15" i="28"/>
  <c r="U14" i="29"/>
  <c r="T15" i="29"/>
  <c r="S17" i="30"/>
  <c r="R18" i="30"/>
  <c r="C19" i="29"/>
  <c r="B20" i="29"/>
  <c r="B17" i="28"/>
  <c r="C16" i="28"/>
  <c r="D31" i="28"/>
  <c r="E30" i="28"/>
  <c r="Q15" i="29"/>
  <c r="P16" i="29"/>
  <c r="J18" i="29"/>
  <c r="K17" i="29"/>
  <c r="N21" i="29"/>
  <c r="O20" i="29"/>
  <c r="L15" i="30"/>
  <c r="M14" i="30"/>
  <c r="R20" i="27"/>
  <c r="S19" i="27"/>
  <c r="P17" i="27"/>
  <c r="Q16" i="27"/>
  <c r="I13" i="29"/>
  <c r="H14" i="29"/>
  <c r="I13" i="30"/>
  <c r="H14" i="30"/>
  <c r="V22" i="27"/>
  <c r="W21" i="27"/>
  <c r="N14" i="30"/>
  <c r="O13" i="30"/>
  <c r="K15" i="30"/>
  <c r="J16" i="30"/>
  <c r="H19" i="27"/>
  <c r="I18" i="27"/>
  <c r="B20" i="27"/>
  <c r="C19" i="27"/>
  <c r="M12" i="29"/>
  <c r="L13" i="29"/>
  <c r="F22" i="27"/>
  <c r="G21" i="27"/>
  <c r="I13" i="28"/>
  <c r="H14" i="28"/>
  <c r="J16" i="27"/>
  <c r="K15" i="27"/>
  <c r="O14" i="28"/>
  <c r="N15" i="28"/>
  <c r="P32" i="28"/>
  <c r="Q31" i="28"/>
  <c r="E14" i="29"/>
  <c r="D15" i="29"/>
  <c r="N22" i="27"/>
  <c r="O21" i="27"/>
  <c r="B15" i="30"/>
  <c r="C14" i="30"/>
  <c r="G14" i="29"/>
  <c r="F15" i="29"/>
  <c r="S15" i="29"/>
  <c r="R16" i="29"/>
  <c r="D16" i="30"/>
  <c r="E15" i="30"/>
  <c r="P15" i="30"/>
  <c r="Q14" i="30"/>
  <c r="G15" i="30"/>
  <c r="F16" i="30"/>
  <c r="T16" i="30"/>
  <c r="U15" i="30"/>
  <c r="R17" i="29" l="1"/>
  <c r="S16" i="29"/>
  <c r="D16" i="29"/>
  <c r="E15" i="29"/>
  <c r="L14" i="29"/>
  <c r="M13" i="29"/>
  <c r="I14" i="30"/>
  <c r="H15" i="30"/>
  <c r="O14" i="30"/>
  <c r="N15" i="30"/>
  <c r="P18" i="27"/>
  <c r="Q17" i="27"/>
  <c r="L16" i="30"/>
  <c r="M15" i="30"/>
  <c r="J19" i="29"/>
  <c r="K18" i="29"/>
  <c r="D32" i="28"/>
  <c r="E31" i="28"/>
  <c r="I14" i="28"/>
  <c r="H15" i="28"/>
  <c r="B21" i="29"/>
  <c r="C20" i="29"/>
  <c r="T17" i="30"/>
  <c r="U16" i="30"/>
  <c r="J17" i="30"/>
  <c r="K16" i="30"/>
  <c r="I14" i="29"/>
  <c r="H15" i="29"/>
  <c r="Q16" i="29"/>
  <c r="P17" i="29"/>
  <c r="R19" i="30"/>
  <c r="S18" i="30"/>
  <c r="F16" i="28"/>
  <c r="G15" i="28"/>
  <c r="N16" i="28"/>
  <c r="O15" i="28"/>
  <c r="T16" i="29"/>
  <c r="U15" i="29"/>
  <c r="Q15" i="30"/>
  <c r="P16" i="30"/>
  <c r="B16" i="30"/>
  <c r="C15" i="30"/>
  <c r="H20" i="27"/>
  <c r="I19" i="27"/>
  <c r="G16" i="30"/>
  <c r="F17" i="30"/>
  <c r="G15" i="29"/>
  <c r="F16" i="29"/>
  <c r="D17" i="30"/>
  <c r="E16" i="30"/>
  <c r="N23" i="27"/>
  <c r="O22" i="27"/>
  <c r="P33" i="28"/>
  <c r="Q32" i="28"/>
  <c r="J17" i="27"/>
  <c r="K16" i="27"/>
  <c r="F23" i="27"/>
  <c r="G22" i="27"/>
  <c r="B21" i="27"/>
  <c r="C20" i="27"/>
  <c r="V23" i="27"/>
  <c r="W22" i="27"/>
  <c r="R21" i="27"/>
  <c r="S20" i="27"/>
  <c r="O21" i="29"/>
  <c r="N22" i="29"/>
  <c r="C17" i="28"/>
  <c r="B18" i="28"/>
  <c r="O22" i="29" l="1"/>
  <c r="N23" i="29"/>
  <c r="Q17" i="29"/>
  <c r="P18" i="29"/>
  <c r="V24" i="27"/>
  <c r="W23" i="27"/>
  <c r="E17" i="30"/>
  <c r="D18" i="30"/>
  <c r="C16" i="30"/>
  <c r="B17" i="30"/>
  <c r="G16" i="28"/>
  <c r="F17" i="28"/>
  <c r="J18" i="30"/>
  <c r="K17" i="30"/>
  <c r="E32" i="28"/>
  <c r="D33" i="28"/>
  <c r="M14" i="29"/>
  <c r="L15" i="29"/>
  <c r="R18" i="29"/>
  <c r="S17" i="29"/>
  <c r="B19" i="28"/>
  <c r="C18" i="28"/>
  <c r="F17" i="29"/>
  <c r="G16" i="29"/>
  <c r="Q16" i="30"/>
  <c r="P17" i="30"/>
  <c r="I15" i="29"/>
  <c r="H16" i="29"/>
  <c r="I15" i="28"/>
  <c r="H16" i="28"/>
  <c r="H16" i="30"/>
  <c r="I15" i="30"/>
  <c r="G17" i="30"/>
  <c r="F18" i="30"/>
  <c r="N16" i="30"/>
  <c r="O15" i="30"/>
  <c r="F24" i="27"/>
  <c r="G23" i="27"/>
  <c r="P34" i="28"/>
  <c r="Q34" i="28" s="1"/>
  <c r="Q33" i="28"/>
  <c r="U16" i="29"/>
  <c r="T17" i="29"/>
  <c r="C21" i="29"/>
  <c r="B22" i="29"/>
  <c r="L17" i="30"/>
  <c r="M16" i="30"/>
  <c r="R22" i="27"/>
  <c r="S21" i="27"/>
  <c r="B22" i="27"/>
  <c r="C21" i="27"/>
  <c r="J18" i="27"/>
  <c r="K17" i="27"/>
  <c r="N24" i="27"/>
  <c r="O23" i="27"/>
  <c r="H21" i="27"/>
  <c r="I20" i="27"/>
  <c r="O16" i="28"/>
  <c r="N17" i="28"/>
  <c r="R20" i="30"/>
  <c r="S19" i="30"/>
  <c r="T18" i="30"/>
  <c r="U17" i="30"/>
  <c r="J20" i="29"/>
  <c r="K19" i="29"/>
  <c r="P19" i="27"/>
  <c r="Q18" i="27"/>
  <c r="D17" i="29"/>
  <c r="E16" i="29"/>
  <c r="I16" i="28" l="1"/>
  <c r="H17" i="28"/>
  <c r="P20" i="27"/>
  <c r="Q19" i="27"/>
  <c r="N25" i="27"/>
  <c r="O24" i="27"/>
  <c r="M17" i="30"/>
  <c r="L18" i="30"/>
  <c r="V25" i="27"/>
  <c r="W24" i="27"/>
  <c r="C22" i="29"/>
  <c r="B23" i="29"/>
  <c r="I16" i="29"/>
  <c r="H17" i="29"/>
  <c r="D34" i="28"/>
  <c r="E34" i="28" s="1"/>
  <c r="E33" i="28"/>
  <c r="F18" i="28"/>
  <c r="G17" i="28"/>
  <c r="E18" i="30"/>
  <c r="D19" i="30"/>
  <c r="Q18" i="29"/>
  <c r="P19" i="29"/>
  <c r="N18" i="28"/>
  <c r="O17" i="28"/>
  <c r="U17" i="29"/>
  <c r="T18" i="29"/>
  <c r="F19" i="30"/>
  <c r="G18" i="30"/>
  <c r="Q17" i="30"/>
  <c r="P18" i="30"/>
  <c r="M15" i="29"/>
  <c r="L16" i="29"/>
  <c r="C17" i="30"/>
  <c r="B18" i="30"/>
  <c r="N24" i="29"/>
  <c r="O23" i="29"/>
  <c r="U18" i="30"/>
  <c r="T19" i="30"/>
  <c r="B23" i="27"/>
  <c r="C22" i="27"/>
  <c r="F25" i="27"/>
  <c r="G24" i="27"/>
  <c r="C19" i="28"/>
  <c r="B20" i="28"/>
  <c r="J19" i="30"/>
  <c r="K18" i="30"/>
  <c r="E17" i="29"/>
  <c r="D18" i="29"/>
  <c r="J21" i="29"/>
  <c r="K20" i="29"/>
  <c r="R21" i="30"/>
  <c r="S20" i="30"/>
  <c r="H22" i="27"/>
  <c r="I21" i="27"/>
  <c r="J19" i="27"/>
  <c r="K18" i="27"/>
  <c r="R23" i="27"/>
  <c r="S22" i="27"/>
  <c r="O16" i="30"/>
  <c r="N17" i="30"/>
  <c r="H17" i="30"/>
  <c r="I16" i="30"/>
  <c r="F18" i="29"/>
  <c r="G17" i="29"/>
  <c r="R19" i="29"/>
  <c r="S18" i="29"/>
  <c r="B19" i="30" l="1"/>
  <c r="C18" i="30"/>
  <c r="U18" i="29"/>
  <c r="T19" i="29"/>
  <c r="I17" i="28"/>
  <c r="H18" i="28"/>
  <c r="R24" i="27"/>
  <c r="S23" i="27"/>
  <c r="J22" i="29"/>
  <c r="K21" i="29"/>
  <c r="F26" i="27"/>
  <c r="G25" i="27"/>
  <c r="N26" i="27"/>
  <c r="O25" i="27"/>
  <c r="E18" i="29"/>
  <c r="D19" i="29"/>
  <c r="B21" i="28"/>
  <c r="C20" i="28"/>
  <c r="M16" i="29"/>
  <c r="L17" i="29"/>
  <c r="D20" i="30"/>
  <c r="E19" i="30"/>
  <c r="C23" i="29"/>
  <c r="B24" i="29"/>
  <c r="M18" i="30"/>
  <c r="L19" i="30"/>
  <c r="U19" i="30"/>
  <c r="T20" i="30"/>
  <c r="P19" i="30"/>
  <c r="Q18" i="30"/>
  <c r="Q19" i="29"/>
  <c r="P20" i="29"/>
  <c r="I17" i="29"/>
  <c r="H18" i="29"/>
  <c r="R20" i="29"/>
  <c r="S19" i="29"/>
  <c r="H18" i="30"/>
  <c r="I17" i="30"/>
  <c r="H23" i="27"/>
  <c r="I22" i="27"/>
  <c r="J20" i="30"/>
  <c r="K19" i="30"/>
  <c r="G18" i="28"/>
  <c r="F19" i="28"/>
  <c r="V26" i="27"/>
  <c r="W25" i="27"/>
  <c r="O17" i="30"/>
  <c r="N18" i="30"/>
  <c r="F19" i="29"/>
  <c r="G18" i="29"/>
  <c r="J20" i="27"/>
  <c r="K19" i="27"/>
  <c r="R22" i="30"/>
  <c r="S21" i="30"/>
  <c r="B24" i="27"/>
  <c r="C23" i="27"/>
  <c r="O24" i="29"/>
  <c r="N25" i="29"/>
  <c r="G19" i="30"/>
  <c r="F20" i="30"/>
  <c r="O18" i="28"/>
  <c r="N19" i="28"/>
  <c r="P21" i="27"/>
  <c r="Q20" i="27"/>
  <c r="N20" i="28" l="1"/>
  <c r="O19" i="28"/>
  <c r="R23" i="30"/>
  <c r="S22" i="30"/>
  <c r="V27" i="27"/>
  <c r="W26" i="27"/>
  <c r="I18" i="30"/>
  <c r="H19" i="30"/>
  <c r="C21" i="28"/>
  <c r="B22" i="28"/>
  <c r="K22" i="29"/>
  <c r="J23" i="29"/>
  <c r="G20" i="30"/>
  <c r="F21" i="30"/>
  <c r="O18" i="30"/>
  <c r="N19" i="30"/>
  <c r="F20" i="28"/>
  <c r="G19" i="28"/>
  <c r="Q20" i="29"/>
  <c r="P21" i="29"/>
  <c r="U20" i="30"/>
  <c r="T21" i="30"/>
  <c r="C24" i="29"/>
  <c r="B25" i="29"/>
  <c r="L18" i="29"/>
  <c r="M17" i="29"/>
  <c r="D20" i="29"/>
  <c r="E19" i="29"/>
  <c r="T20" i="29"/>
  <c r="U19" i="29"/>
  <c r="N26" i="29"/>
  <c r="O25" i="29"/>
  <c r="I18" i="29"/>
  <c r="H19" i="29"/>
  <c r="M19" i="30"/>
  <c r="L20" i="30"/>
  <c r="I18" i="28"/>
  <c r="H19" i="28"/>
  <c r="F20" i="29"/>
  <c r="G19" i="29"/>
  <c r="J21" i="30"/>
  <c r="K20" i="30"/>
  <c r="P20" i="30"/>
  <c r="Q19" i="30"/>
  <c r="D21" i="30"/>
  <c r="E20" i="30"/>
  <c r="N27" i="27"/>
  <c r="O26" i="27"/>
  <c r="B20" i="30"/>
  <c r="C19" i="30"/>
  <c r="P22" i="27"/>
  <c r="Q21" i="27"/>
  <c r="B25" i="27"/>
  <c r="C24" i="27"/>
  <c r="J21" i="27"/>
  <c r="K20" i="27"/>
  <c r="H24" i="27"/>
  <c r="I23" i="27"/>
  <c r="S20" i="29"/>
  <c r="R21" i="29"/>
  <c r="F27" i="27"/>
  <c r="G26" i="27"/>
  <c r="R25" i="27"/>
  <c r="S24" i="27"/>
  <c r="I19" i="29" l="1"/>
  <c r="H20" i="29"/>
  <c r="B23" i="28"/>
  <c r="C22" i="28"/>
  <c r="B21" i="30"/>
  <c r="C20" i="30"/>
  <c r="J22" i="30"/>
  <c r="K21" i="30"/>
  <c r="L19" i="29"/>
  <c r="M18" i="29"/>
  <c r="V28" i="27"/>
  <c r="W27" i="27"/>
  <c r="O20" i="28"/>
  <c r="N21" i="28"/>
  <c r="R22" i="29"/>
  <c r="S21" i="29"/>
  <c r="L21" i="30"/>
  <c r="M20" i="30"/>
  <c r="B26" i="29"/>
  <c r="C25" i="29"/>
  <c r="P22" i="29"/>
  <c r="Q21" i="29"/>
  <c r="O19" i="30"/>
  <c r="N20" i="30"/>
  <c r="J24" i="29"/>
  <c r="K23" i="29"/>
  <c r="H20" i="30"/>
  <c r="I19" i="30"/>
  <c r="I19" i="28"/>
  <c r="H20" i="28"/>
  <c r="T22" i="30"/>
  <c r="U21" i="30"/>
  <c r="F22" i="30"/>
  <c r="G21" i="30"/>
  <c r="F28" i="27"/>
  <c r="G27" i="27"/>
  <c r="H25" i="27"/>
  <c r="I24" i="27"/>
  <c r="B26" i="27"/>
  <c r="C25" i="27"/>
  <c r="D22" i="30"/>
  <c r="E21" i="30"/>
  <c r="U20" i="29"/>
  <c r="T21" i="29"/>
  <c r="G20" i="28"/>
  <c r="F21" i="28"/>
  <c r="R26" i="27"/>
  <c r="S25" i="27"/>
  <c r="J22" i="27"/>
  <c r="K21" i="27"/>
  <c r="P23" i="27"/>
  <c r="Q22" i="27"/>
  <c r="N28" i="27"/>
  <c r="O27" i="27"/>
  <c r="Q20" i="30"/>
  <c r="P21" i="30"/>
  <c r="G20" i="29"/>
  <c r="F21" i="29"/>
  <c r="N27" i="29"/>
  <c r="O26" i="29"/>
  <c r="D21" i="29"/>
  <c r="E20" i="29"/>
  <c r="R24" i="30"/>
  <c r="S23" i="30"/>
  <c r="F22" i="28" l="1"/>
  <c r="G21" i="28"/>
  <c r="I20" i="28"/>
  <c r="H21" i="28"/>
  <c r="N22" i="28"/>
  <c r="O21" i="28"/>
  <c r="J23" i="27"/>
  <c r="K22" i="27"/>
  <c r="E22" i="30"/>
  <c r="D23" i="30"/>
  <c r="G22" i="30"/>
  <c r="F23" i="30"/>
  <c r="J25" i="29"/>
  <c r="K24" i="29"/>
  <c r="L22" i="30"/>
  <c r="M21" i="30"/>
  <c r="M19" i="29"/>
  <c r="L20" i="29"/>
  <c r="B22" i="30"/>
  <c r="C21" i="30"/>
  <c r="Q21" i="30"/>
  <c r="P22" i="30"/>
  <c r="T22" i="29"/>
  <c r="U21" i="29"/>
  <c r="N21" i="30"/>
  <c r="O20" i="30"/>
  <c r="F22" i="29"/>
  <c r="G21" i="29"/>
  <c r="I20" i="29"/>
  <c r="H21" i="29"/>
  <c r="E21" i="29"/>
  <c r="D22" i="29"/>
  <c r="N29" i="27"/>
  <c r="O28" i="27"/>
  <c r="H26" i="27"/>
  <c r="I25" i="27"/>
  <c r="P23" i="29"/>
  <c r="Q22" i="29"/>
  <c r="R25" i="30"/>
  <c r="S24" i="30"/>
  <c r="N28" i="29"/>
  <c r="O27" i="29"/>
  <c r="P24" i="27"/>
  <c r="Q23" i="27"/>
  <c r="R27" i="27"/>
  <c r="S26" i="27"/>
  <c r="B27" i="27"/>
  <c r="C26" i="27"/>
  <c r="F29" i="27"/>
  <c r="G28" i="27"/>
  <c r="T23" i="30"/>
  <c r="U22" i="30"/>
  <c r="I20" i="30"/>
  <c r="H21" i="30"/>
  <c r="C26" i="29"/>
  <c r="B27" i="29"/>
  <c r="S22" i="29"/>
  <c r="R23" i="29"/>
  <c r="V29" i="27"/>
  <c r="W28" i="27"/>
  <c r="J23" i="30"/>
  <c r="K22" i="30"/>
  <c r="C23" i="28"/>
  <c r="B24" i="28"/>
  <c r="I21" i="30" l="1"/>
  <c r="H22" i="30"/>
  <c r="L21" i="29"/>
  <c r="M20" i="29"/>
  <c r="E23" i="30"/>
  <c r="D24" i="30"/>
  <c r="R28" i="27"/>
  <c r="S27" i="27"/>
  <c r="Q23" i="29"/>
  <c r="P24" i="29"/>
  <c r="J26" i="29"/>
  <c r="K25" i="29"/>
  <c r="O22" i="28"/>
  <c r="N23" i="28"/>
  <c r="G22" i="28"/>
  <c r="F23" i="28"/>
  <c r="B25" i="28"/>
  <c r="C24" i="28"/>
  <c r="B28" i="29"/>
  <c r="C27" i="29"/>
  <c r="E22" i="29"/>
  <c r="D23" i="29"/>
  <c r="G23" i="30"/>
  <c r="F24" i="30"/>
  <c r="I21" i="28"/>
  <c r="H22" i="28"/>
  <c r="R24" i="29"/>
  <c r="S23" i="29"/>
  <c r="I21" i="29"/>
  <c r="H22" i="29"/>
  <c r="Q22" i="30"/>
  <c r="P23" i="30"/>
  <c r="J24" i="30"/>
  <c r="K23" i="30"/>
  <c r="F30" i="27"/>
  <c r="G29" i="27"/>
  <c r="N29" i="29"/>
  <c r="O28" i="29"/>
  <c r="N30" i="27"/>
  <c r="O29" i="27"/>
  <c r="N22" i="30"/>
  <c r="O21" i="30"/>
  <c r="V30" i="27"/>
  <c r="W29" i="27"/>
  <c r="U23" i="30"/>
  <c r="T24" i="30"/>
  <c r="B28" i="27"/>
  <c r="C27" i="27"/>
  <c r="P25" i="27"/>
  <c r="Q24" i="27"/>
  <c r="R26" i="30"/>
  <c r="S25" i="30"/>
  <c r="H27" i="27"/>
  <c r="I26" i="27"/>
  <c r="F23" i="29"/>
  <c r="G22" i="29"/>
  <c r="U22" i="29"/>
  <c r="T23" i="29"/>
  <c r="B23" i="30"/>
  <c r="C22" i="30"/>
  <c r="M22" i="30"/>
  <c r="L23" i="30"/>
  <c r="J24" i="27"/>
  <c r="K23" i="27"/>
  <c r="M23" i="30" l="1"/>
  <c r="L24" i="30"/>
  <c r="U24" i="30"/>
  <c r="T25" i="30"/>
  <c r="I22" i="28"/>
  <c r="H23" i="28"/>
  <c r="Q24" i="29"/>
  <c r="P25" i="29"/>
  <c r="D25" i="30"/>
  <c r="E24" i="30"/>
  <c r="H28" i="27"/>
  <c r="I27" i="27"/>
  <c r="J25" i="30"/>
  <c r="K24" i="30"/>
  <c r="C25" i="28"/>
  <c r="B26" i="28"/>
  <c r="P24" i="30"/>
  <c r="Q23" i="30"/>
  <c r="G24" i="30"/>
  <c r="F25" i="30"/>
  <c r="F24" i="28"/>
  <c r="G23" i="28"/>
  <c r="U23" i="29"/>
  <c r="T24" i="29"/>
  <c r="I22" i="29"/>
  <c r="H23" i="29"/>
  <c r="E23" i="29"/>
  <c r="D24" i="29"/>
  <c r="N24" i="28"/>
  <c r="O23" i="28"/>
  <c r="I22" i="30"/>
  <c r="H23" i="30"/>
  <c r="P26" i="27"/>
  <c r="Q25" i="27"/>
  <c r="O22" i="30"/>
  <c r="N23" i="30"/>
  <c r="O29" i="29"/>
  <c r="N30" i="29"/>
  <c r="J25" i="27"/>
  <c r="K24" i="27"/>
  <c r="B24" i="30"/>
  <c r="C23" i="30"/>
  <c r="F24" i="29"/>
  <c r="G23" i="29"/>
  <c r="R27" i="30"/>
  <c r="S26" i="30"/>
  <c r="B29" i="27"/>
  <c r="C28" i="27"/>
  <c r="V31" i="27"/>
  <c r="W30" i="27"/>
  <c r="N31" i="27"/>
  <c r="O30" i="27"/>
  <c r="F31" i="27"/>
  <c r="G30" i="27"/>
  <c r="S24" i="29"/>
  <c r="R25" i="29"/>
  <c r="C28" i="29"/>
  <c r="B29" i="29"/>
  <c r="K26" i="29"/>
  <c r="J27" i="29"/>
  <c r="S28" i="27"/>
  <c r="R29" i="27"/>
  <c r="M21" i="29"/>
  <c r="L22" i="29"/>
  <c r="C29" i="29" l="1"/>
  <c r="B30" i="29"/>
  <c r="I23" i="29"/>
  <c r="H24" i="29"/>
  <c r="I23" i="28"/>
  <c r="H24" i="28"/>
  <c r="V32" i="27"/>
  <c r="W31" i="27"/>
  <c r="B25" i="30"/>
  <c r="C24" i="30"/>
  <c r="P27" i="27"/>
  <c r="Q26" i="27"/>
  <c r="G24" i="28"/>
  <c r="F25" i="28"/>
  <c r="J26" i="30"/>
  <c r="K25" i="30"/>
  <c r="D26" i="30"/>
  <c r="E25" i="30"/>
  <c r="M22" i="29"/>
  <c r="L23" i="29"/>
  <c r="J28" i="29"/>
  <c r="K27" i="29"/>
  <c r="R26" i="29"/>
  <c r="S25" i="29"/>
  <c r="O23" i="30"/>
  <c r="N24" i="30"/>
  <c r="H24" i="30"/>
  <c r="I23" i="30"/>
  <c r="E24" i="29"/>
  <c r="D25" i="29"/>
  <c r="U24" i="29"/>
  <c r="T25" i="29"/>
  <c r="F26" i="30"/>
  <c r="G25" i="30"/>
  <c r="B27" i="28"/>
  <c r="C26" i="28"/>
  <c r="P26" i="29"/>
  <c r="Q25" i="29"/>
  <c r="U25" i="30"/>
  <c r="T26" i="30"/>
  <c r="R30" i="27"/>
  <c r="S29" i="27"/>
  <c r="O30" i="29"/>
  <c r="N31" i="29"/>
  <c r="M24" i="30"/>
  <c r="L25" i="30"/>
  <c r="F32" i="27"/>
  <c r="G31" i="27"/>
  <c r="R28" i="30"/>
  <c r="S27" i="30"/>
  <c r="O24" i="28"/>
  <c r="N25" i="28"/>
  <c r="Q24" i="30"/>
  <c r="P25" i="30"/>
  <c r="N32" i="27"/>
  <c r="O31" i="27"/>
  <c r="B30" i="27"/>
  <c r="C29" i="27"/>
  <c r="F25" i="29"/>
  <c r="G24" i="29"/>
  <c r="J26" i="27"/>
  <c r="K25" i="27"/>
  <c r="H29" i="27"/>
  <c r="I28" i="27"/>
  <c r="E25" i="29" l="1"/>
  <c r="D26" i="29"/>
  <c r="I24" i="28"/>
  <c r="H25" i="28"/>
  <c r="J27" i="27"/>
  <c r="K26" i="27"/>
  <c r="R29" i="30"/>
  <c r="S28" i="30"/>
  <c r="R31" i="27"/>
  <c r="S30" i="27"/>
  <c r="G26" i="30"/>
  <c r="F27" i="30"/>
  <c r="D27" i="30"/>
  <c r="E26" i="30"/>
  <c r="B26" i="30"/>
  <c r="C25" i="30"/>
  <c r="N26" i="28"/>
  <c r="O25" i="28"/>
  <c r="N32" i="29"/>
  <c r="O31" i="29"/>
  <c r="T27" i="30"/>
  <c r="U26" i="30"/>
  <c r="T26" i="29"/>
  <c r="U25" i="29"/>
  <c r="L24" i="29"/>
  <c r="M23" i="29"/>
  <c r="I24" i="29"/>
  <c r="H25" i="29"/>
  <c r="P26" i="30"/>
  <c r="Q25" i="30"/>
  <c r="L26" i="30"/>
  <c r="M25" i="30"/>
  <c r="N25" i="30"/>
  <c r="O24" i="30"/>
  <c r="F26" i="28"/>
  <c r="G25" i="28"/>
  <c r="C30" i="29"/>
  <c r="B31" i="29"/>
  <c r="C30" i="27"/>
  <c r="B31" i="27"/>
  <c r="P27" i="29"/>
  <c r="Q26" i="29"/>
  <c r="J29" i="29"/>
  <c r="K28" i="29"/>
  <c r="I29" i="27"/>
  <c r="H30" i="27"/>
  <c r="F26" i="29"/>
  <c r="G25" i="29"/>
  <c r="N33" i="27"/>
  <c r="O32" i="27"/>
  <c r="F33" i="27"/>
  <c r="G32" i="27"/>
  <c r="B28" i="28"/>
  <c r="C27" i="28"/>
  <c r="H25" i="30"/>
  <c r="I24" i="30"/>
  <c r="S26" i="29"/>
  <c r="R27" i="29"/>
  <c r="J27" i="30"/>
  <c r="K26" i="30"/>
  <c r="P28" i="27"/>
  <c r="Q27" i="27"/>
  <c r="V33" i="27"/>
  <c r="W32" i="27"/>
  <c r="H31" i="27" l="1"/>
  <c r="I30" i="27"/>
  <c r="C31" i="29"/>
  <c r="B32" i="29"/>
  <c r="B29" i="28"/>
  <c r="C28" i="28"/>
  <c r="O25" i="30"/>
  <c r="N26" i="30"/>
  <c r="L25" i="29"/>
  <c r="M24" i="29"/>
  <c r="N27" i="28"/>
  <c r="O26" i="28"/>
  <c r="E27" i="30"/>
  <c r="D28" i="30"/>
  <c r="R32" i="27"/>
  <c r="S31" i="27"/>
  <c r="J28" i="27"/>
  <c r="K27" i="27"/>
  <c r="B32" i="27"/>
  <c r="C31" i="27"/>
  <c r="I25" i="29"/>
  <c r="H26" i="29"/>
  <c r="G27" i="30"/>
  <c r="F28" i="30"/>
  <c r="I25" i="28"/>
  <c r="H26" i="28"/>
  <c r="R28" i="29"/>
  <c r="S27" i="29"/>
  <c r="E26" i="29"/>
  <c r="D27" i="29"/>
  <c r="P29" i="27"/>
  <c r="Q28" i="27"/>
  <c r="N34" i="27"/>
  <c r="O34" i="27" s="1"/>
  <c r="O33" i="27"/>
  <c r="Q27" i="29"/>
  <c r="P28" i="29"/>
  <c r="Q26" i="30"/>
  <c r="P27" i="30"/>
  <c r="T28" i="30"/>
  <c r="U27" i="30"/>
  <c r="V34" i="27"/>
  <c r="W34" i="27" s="1"/>
  <c r="W33" i="27"/>
  <c r="J28" i="30"/>
  <c r="K27" i="30"/>
  <c r="I25" i="30"/>
  <c r="H26" i="30"/>
  <c r="F34" i="27"/>
  <c r="G34" i="27" s="1"/>
  <c r="G33" i="27"/>
  <c r="F27" i="29"/>
  <c r="G26" i="29"/>
  <c r="J30" i="29"/>
  <c r="K29" i="29"/>
  <c r="F27" i="28"/>
  <c r="G26" i="28"/>
  <c r="L27" i="30"/>
  <c r="M26" i="30"/>
  <c r="U26" i="29"/>
  <c r="T27" i="29"/>
  <c r="O32" i="29"/>
  <c r="N33" i="29"/>
  <c r="B27" i="30"/>
  <c r="C26" i="30"/>
  <c r="R30" i="30"/>
  <c r="S29" i="30"/>
  <c r="I26" i="30" l="1"/>
  <c r="H27" i="30"/>
  <c r="Q27" i="30"/>
  <c r="P28" i="30"/>
  <c r="E27" i="29"/>
  <c r="D28" i="29"/>
  <c r="I26" i="29"/>
  <c r="H27" i="29"/>
  <c r="E28" i="30"/>
  <c r="D29" i="30"/>
  <c r="F28" i="28"/>
  <c r="G27" i="28"/>
  <c r="J29" i="27"/>
  <c r="K28" i="27"/>
  <c r="M25" i="29"/>
  <c r="L26" i="29"/>
  <c r="B30" i="28"/>
  <c r="C29" i="28"/>
  <c r="H32" i="27"/>
  <c r="I31" i="27"/>
  <c r="N34" i="29"/>
  <c r="O34" i="29" s="1"/>
  <c r="O33" i="29"/>
  <c r="Q28" i="29"/>
  <c r="P29" i="29"/>
  <c r="G28" i="30"/>
  <c r="F29" i="30"/>
  <c r="O26" i="30"/>
  <c r="N27" i="30"/>
  <c r="C32" i="29"/>
  <c r="B33" i="29"/>
  <c r="U27" i="29"/>
  <c r="T28" i="29"/>
  <c r="I26" i="28"/>
  <c r="H27" i="28"/>
  <c r="B28" i="30"/>
  <c r="C27" i="30"/>
  <c r="F28" i="29"/>
  <c r="G27" i="29"/>
  <c r="R31" i="30"/>
  <c r="S30" i="30"/>
  <c r="L28" i="30"/>
  <c r="M27" i="30"/>
  <c r="K30" i="29"/>
  <c r="J31" i="29"/>
  <c r="J29" i="30"/>
  <c r="K28" i="30"/>
  <c r="U28" i="30"/>
  <c r="T29" i="30"/>
  <c r="Q29" i="27"/>
  <c r="P30" i="27"/>
  <c r="S28" i="29"/>
  <c r="R29" i="29"/>
  <c r="B33" i="27"/>
  <c r="C32" i="27"/>
  <c r="R33" i="27"/>
  <c r="S32" i="27"/>
  <c r="N28" i="28"/>
  <c r="O27" i="28"/>
  <c r="P31" i="27" l="1"/>
  <c r="Q30" i="27"/>
  <c r="F30" i="30"/>
  <c r="G29" i="30"/>
  <c r="E28" i="29"/>
  <c r="D29" i="29"/>
  <c r="B34" i="27"/>
  <c r="C34" i="27" s="1"/>
  <c r="C33" i="27"/>
  <c r="R30" i="29"/>
  <c r="S29" i="29"/>
  <c r="U29" i="30"/>
  <c r="T30" i="30"/>
  <c r="J32" i="29"/>
  <c r="K31" i="29"/>
  <c r="U28" i="29"/>
  <c r="T29" i="29"/>
  <c r="O27" i="30"/>
  <c r="N28" i="30"/>
  <c r="P30" i="29"/>
  <c r="Q29" i="29"/>
  <c r="M26" i="29"/>
  <c r="L27" i="29"/>
  <c r="I27" i="29"/>
  <c r="H28" i="29"/>
  <c r="Q28" i="30"/>
  <c r="P29" i="30"/>
  <c r="I27" i="28"/>
  <c r="H28" i="28"/>
  <c r="I27" i="30"/>
  <c r="H28" i="30"/>
  <c r="R34" i="27"/>
  <c r="S34" i="27" s="1"/>
  <c r="S33" i="27"/>
  <c r="R32" i="30"/>
  <c r="S31" i="30"/>
  <c r="B29" i="30"/>
  <c r="C28" i="30"/>
  <c r="H33" i="27"/>
  <c r="I32" i="27"/>
  <c r="F29" i="28"/>
  <c r="G28" i="28"/>
  <c r="C33" i="29"/>
  <c r="B34" i="29"/>
  <c r="C34" i="29" s="1"/>
  <c r="E29" i="30"/>
  <c r="D30" i="30"/>
  <c r="N29" i="28"/>
  <c r="O28" i="28"/>
  <c r="J30" i="30"/>
  <c r="K29" i="30"/>
  <c r="M28" i="30"/>
  <c r="L29" i="30"/>
  <c r="G28" i="29"/>
  <c r="F29" i="29"/>
  <c r="B31" i="28"/>
  <c r="C30" i="28"/>
  <c r="J30" i="27"/>
  <c r="K29" i="27"/>
  <c r="L28" i="29" l="1"/>
  <c r="M27" i="29"/>
  <c r="B32" i="28"/>
  <c r="C31" i="28"/>
  <c r="G29" i="29"/>
  <c r="F30" i="29"/>
  <c r="D31" i="30"/>
  <c r="E30" i="30"/>
  <c r="H29" i="28"/>
  <c r="I28" i="28"/>
  <c r="I28" i="29"/>
  <c r="H29" i="29"/>
  <c r="T30" i="29"/>
  <c r="U29" i="29"/>
  <c r="U30" i="30"/>
  <c r="T31" i="30"/>
  <c r="P30" i="30"/>
  <c r="Q29" i="30"/>
  <c r="J31" i="27"/>
  <c r="K30" i="27"/>
  <c r="K30" i="30"/>
  <c r="J31" i="30"/>
  <c r="F30" i="28"/>
  <c r="G29" i="28"/>
  <c r="B30" i="30"/>
  <c r="C29" i="30"/>
  <c r="P31" i="29"/>
  <c r="Q30" i="29"/>
  <c r="G30" i="30"/>
  <c r="F31" i="30"/>
  <c r="M29" i="30"/>
  <c r="L30" i="30"/>
  <c r="H29" i="30"/>
  <c r="I28" i="30"/>
  <c r="N29" i="30"/>
  <c r="O28" i="30"/>
  <c r="E29" i="29"/>
  <c r="D30" i="29"/>
  <c r="N30" i="28"/>
  <c r="O29" i="28"/>
  <c r="H34" i="27"/>
  <c r="I34" i="27" s="1"/>
  <c r="I33" i="27"/>
  <c r="R33" i="30"/>
  <c r="S32" i="30"/>
  <c r="J33" i="29"/>
  <c r="K32" i="29"/>
  <c r="S30" i="29"/>
  <c r="R31" i="29"/>
  <c r="P32" i="27"/>
  <c r="Q31" i="27"/>
  <c r="J32" i="30" l="1"/>
  <c r="K31" i="30"/>
  <c r="P33" i="27"/>
  <c r="Q32" i="27"/>
  <c r="J34" i="29"/>
  <c r="K34" i="29" s="1"/>
  <c r="K33" i="29"/>
  <c r="R32" i="29"/>
  <c r="S31" i="29"/>
  <c r="M30" i="30"/>
  <c r="L31" i="30"/>
  <c r="U31" i="30"/>
  <c r="T32" i="30"/>
  <c r="I29" i="29"/>
  <c r="H30" i="29"/>
  <c r="R34" i="30"/>
  <c r="S34" i="30" s="1"/>
  <c r="S33" i="30"/>
  <c r="N31" i="28"/>
  <c r="O30" i="28"/>
  <c r="O29" i="30"/>
  <c r="N30" i="30"/>
  <c r="Q31" i="29"/>
  <c r="P32" i="29"/>
  <c r="F31" i="28"/>
  <c r="G30" i="28"/>
  <c r="J32" i="27"/>
  <c r="K31" i="27"/>
  <c r="E31" i="30"/>
  <c r="D32" i="30"/>
  <c r="B33" i="28"/>
  <c r="C32" i="28"/>
  <c r="E30" i="29"/>
  <c r="D31" i="29"/>
  <c r="F31" i="29"/>
  <c r="G30" i="29"/>
  <c r="G31" i="30"/>
  <c r="F32" i="30"/>
  <c r="H30" i="30"/>
  <c r="I29" i="30"/>
  <c r="B31" i="30"/>
  <c r="C30" i="30"/>
  <c r="P31" i="30"/>
  <c r="Q30" i="30"/>
  <c r="U30" i="29"/>
  <c r="T31" i="29"/>
  <c r="H30" i="28"/>
  <c r="I29" i="28"/>
  <c r="L29" i="29"/>
  <c r="M28" i="29"/>
  <c r="G32" i="30" l="1"/>
  <c r="F33" i="30"/>
  <c r="E31" i="29"/>
  <c r="D32" i="29"/>
  <c r="E32" i="30"/>
  <c r="D33" i="30"/>
  <c r="O30" i="30"/>
  <c r="N31" i="30"/>
  <c r="T33" i="30"/>
  <c r="U32" i="30"/>
  <c r="M29" i="29"/>
  <c r="L30" i="29"/>
  <c r="B32" i="30"/>
  <c r="C31" i="30"/>
  <c r="F32" i="28"/>
  <c r="G31" i="28"/>
  <c r="S32" i="29"/>
  <c r="R33" i="29"/>
  <c r="P34" i="27"/>
  <c r="Q34" i="27" s="1"/>
  <c r="Q33" i="27"/>
  <c r="U31" i="29"/>
  <c r="T32" i="29"/>
  <c r="Q32" i="29"/>
  <c r="P33" i="29"/>
  <c r="I30" i="29"/>
  <c r="H31" i="29"/>
  <c r="L32" i="30"/>
  <c r="M31" i="30"/>
  <c r="H31" i="28"/>
  <c r="I30" i="28"/>
  <c r="Q31" i="30"/>
  <c r="P32" i="30"/>
  <c r="I30" i="30"/>
  <c r="H31" i="30"/>
  <c r="G31" i="29"/>
  <c r="F32" i="29"/>
  <c r="B34" i="28"/>
  <c r="C34" i="28" s="1"/>
  <c r="C33" i="28"/>
  <c r="K32" i="27"/>
  <c r="J33" i="27"/>
  <c r="N32" i="28"/>
  <c r="O31" i="28"/>
  <c r="J33" i="30"/>
  <c r="K32" i="30"/>
  <c r="N33" i="28" l="1"/>
  <c r="O32" i="28"/>
  <c r="J34" i="27"/>
  <c r="K34" i="27" s="1"/>
  <c r="K33" i="27"/>
  <c r="F33" i="29"/>
  <c r="G32" i="29"/>
  <c r="Q32" i="30"/>
  <c r="P33" i="30"/>
  <c r="P34" i="29"/>
  <c r="Q34" i="29" s="1"/>
  <c r="Q33" i="29"/>
  <c r="M30" i="29"/>
  <c r="L31" i="29"/>
  <c r="O31" i="30"/>
  <c r="N32" i="30"/>
  <c r="E32" i="29"/>
  <c r="D33" i="29"/>
  <c r="L33" i="30"/>
  <c r="M32" i="30"/>
  <c r="F33" i="28"/>
  <c r="G32" i="28"/>
  <c r="J34" i="30"/>
  <c r="K34" i="30" s="1"/>
  <c r="K33" i="30"/>
  <c r="I31" i="30"/>
  <c r="H32" i="30"/>
  <c r="I31" i="29"/>
  <c r="H32" i="29"/>
  <c r="U32" i="29"/>
  <c r="T33" i="29"/>
  <c r="R34" i="29"/>
  <c r="S34" i="29" s="1"/>
  <c r="S33" i="29"/>
  <c r="E33" i="30"/>
  <c r="D34" i="30"/>
  <c r="E34" i="30" s="1"/>
  <c r="G33" i="30"/>
  <c r="F34" i="30"/>
  <c r="G34" i="30" s="1"/>
  <c r="I31" i="28"/>
  <c r="H32" i="28"/>
  <c r="B33" i="30"/>
  <c r="C32" i="30"/>
  <c r="T34" i="30"/>
  <c r="U34" i="30" s="1"/>
  <c r="U33" i="30"/>
  <c r="C33" i="30" l="1"/>
  <c r="B34" i="30"/>
  <c r="C34" i="30" s="1"/>
  <c r="I32" i="28"/>
  <c r="H33" i="28"/>
  <c r="T34" i="29"/>
  <c r="U34" i="29" s="1"/>
  <c r="U33" i="29"/>
  <c r="I32" i="30"/>
  <c r="H33" i="30"/>
  <c r="E33" i="29"/>
  <c r="D34" i="29"/>
  <c r="E34" i="29" s="1"/>
  <c r="L32" i="29"/>
  <c r="M31" i="29"/>
  <c r="Q33" i="30"/>
  <c r="P34" i="30"/>
  <c r="Q34" i="30" s="1"/>
  <c r="F34" i="28"/>
  <c r="G34" i="28" s="1"/>
  <c r="G33" i="28"/>
  <c r="I32" i="29"/>
  <c r="H33" i="29"/>
  <c r="N33" i="30"/>
  <c r="O32" i="30"/>
  <c r="M33" i="30"/>
  <c r="L34" i="30"/>
  <c r="M34" i="30" s="1"/>
  <c r="F34" i="29"/>
  <c r="G34" i="29" s="1"/>
  <c r="G33" i="29"/>
  <c r="N34" i="28"/>
  <c r="O34" i="28" s="1"/>
  <c r="O33" i="28"/>
  <c r="H34" i="30" l="1"/>
  <c r="I34" i="30" s="1"/>
  <c r="I33" i="30"/>
  <c r="H34" i="28"/>
  <c r="I34" i="28" s="1"/>
  <c r="I33" i="28"/>
  <c r="O33" i="30"/>
  <c r="N34" i="30"/>
  <c r="O34" i="30" s="1"/>
  <c r="L33" i="29"/>
  <c r="M32" i="29"/>
  <c r="I33" i="29"/>
  <c r="H34" i="29"/>
  <c r="I34" i="29" s="1"/>
  <c r="M33" i="29" l="1"/>
  <c r="L34" i="29"/>
  <c r="M34" i="29" s="1"/>
</calcChain>
</file>

<file path=xl/sharedStrings.xml><?xml version="1.0" encoding="utf-8"?>
<sst xmlns="http://schemas.openxmlformats.org/spreadsheetml/2006/main" count="1421" uniqueCount="89">
  <si>
    <t>1. Liv</t>
  </si>
  <si>
    <t>2. Liv</t>
  </si>
  <si>
    <t>3. Liv</t>
  </si>
  <si>
    <t>4. Liv</t>
  </si>
  <si>
    <t>5. Liv</t>
  </si>
  <si>
    <t>6. Liv</t>
  </si>
  <si>
    <t>7. Liv</t>
  </si>
  <si>
    <t>8. Liv</t>
  </si>
  <si>
    <t>1. Dir.</t>
  </si>
  <si>
    <t>1.DIR</t>
  </si>
  <si>
    <t>Livello retributivo inferiore / Untere Besoldungsstufe</t>
  </si>
  <si>
    <t>Stipendio base/Grundgehalt</t>
  </si>
  <si>
    <t>iniz</t>
  </si>
  <si>
    <t>1. sc</t>
  </si>
  <si>
    <t>2. sc</t>
  </si>
  <si>
    <t>3. sc</t>
  </si>
  <si>
    <t>4. sc</t>
  </si>
  <si>
    <t>5. sc</t>
  </si>
  <si>
    <t>6. sc</t>
  </si>
  <si>
    <t>7. sc</t>
  </si>
  <si>
    <t>8. sc</t>
  </si>
  <si>
    <t>9. sc</t>
  </si>
  <si>
    <t>10. sc</t>
  </si>
  <si>
    <t>11. sc</t>
  </si>
  <si>
    <t>12. sc</t>
  </si>
  <si>
    <t>13. sc</t>
  </si>
  <si>
    <t>14. sc</t>
  </si>
  <si>
    <t>15. sc</t>
  </si>
  <si>
    <t>16. sc</t>
  </si>
  <si>
    <t>17. sc</t>
  </si>
  <si>
    <t>18. sc</t>
  </si>
  <si>
    <t>19. sc</t>
  </si>
  <si>
    <t>20. sc</t>
  </si>
  <si>
    <t>21. sc</t>
  </si>
  <si>
    <t>22. sc</t>
  </si>
  <si>
    <t>23. sc</t>
  </si>
  <si>
    <t>24. sc</t>
  </si>
  <si>
    <t>25. sc</t>
  </si>
  <si>
    <t>26. sc</t>
  </si>
  <si>
    <t>27. sc</t>
  </si>
  <si>
    <t>28. sc</t>
  </si>
  <si>
    <t>5. Liv.bis</t>
  </si>
  <si>
    <t>SEGR. 1 cl</t>
  </si>
  <si>
    <t>29. sc</t>
  </si>
  <si>
    <t>1. Q.F. / 1. F.E.</t>
  </si>
  <si>
    <t>2. Q.F. / 2. F.E.</t>
  </si>
  <si>
    <t>3. Q.F. / 3. F.E.</t>
  </si>
  <si>
    <t>4. Q.F. / 4. F.E.</t>
  </si>
  <si>
    <t>5. Q.F. / 5. F.E.</t>
  </si>
  <si>
    <t>6. Q.F. / 6. F.E.</t>
  </si>
  <si>
    <t>7. Q.F. / 7. F.E.</t>
  </si>
  <si>
    <t>8. Q.F. / 8. F.E.</t>
  </si>
  <si>
    <t>9. Q.F. / 9. F.E.</t>
  </si>
  <si>
    <t>1. classe / 1. Klasse</t>
  </si>
  <si>
    <t>2. classe / 2. Klasse</t>
  </si>
  <si>
    <t>3. classe / 3. Klasse</t>
  </si>
  <si>
    <t>Livello retributivo superiore / Obere Besoldungsstufe</t>
  </si>
  <si>
    <t>1. scatto / 1. Vorr.</t>
  </si>
  <si>
    <t>2. scatto / 2. Vorr.</t>
  </si>
  <si>
    <t>3. scatto / 3. Vorr.</t>
  </si>
  <si>
    <t>4. scatto / 4. Vorr.</t>
  </si>
  <si>
    <t>5. scatto / 5. Vorr.</t>
  </si>
  <si>
    <t>6. scatto / 6. Vorr.</t>
  </si>
  <si>
    <t>7. scatto / 7. Vorr.</t>
  </si>
  <si>
    <t>8. scatto / 8. Vorr.</t>
  </si>
  <si>
    <t>9. scatto / 9. Vorr.</t>
  </si>
  <si>
    <t>10. scatto / 10. Vorr.</t>
  </si>
  <si>
    <t>11. scatto / 11. Vorr.</t>
  </si>
  <si>
    <t>12. scatto / 12. Vorr.</t>
  </si>
  <si>
    <t>13. scatto / 13. Vorr.</t>
  </si>
  <si>
    <t>14. scatto / 14. Vorr.</t>
  </si>
  <si>
    <t>15. scatto / 15. Vorr.</t>
  </si>
  <si>
    <t>16. scatto / 16. Vorr.</t>
  </si>
  <si>
    <t>17. scatto / 17. Vorr.</t>
  </si>
  <si>
    <t>18. scatto / 18. Vorr.</t>
  </si>
  <si>
    <t>19. scatto / 19. Vorr.</t>
  </si>
  <si>
    <t>20. scatto / 20. Vorr.</t>
  </si>
  <si>
    <t>21. scatto / 21. Vorr.</t>
  </si>
  <si>
    <t>22. scatto / 22. Vorr.</t>
  </si>
  <si>
    <t>23. scatto / 23. Vorr.</t>
  </si>
  <si>
    <t>24. scatto / 24. Vorr.</t>
  </si>
  <si>
    <t>25. scatto / 25. Vorr.</t>
  </si>
  <si>
    <t>10.sc</t>
  </si>
  <si>
    <t>22. sc</t>
  </si>
  <si>
    <t>9.  sc</t>
  </si>
  <si>
    <t>Stipendio base / Grundgehalt</t>
  </si>
  <si>
    <t>Stipendio base</t>
  </si>
  <si>
    <r>
      <t xml:space="preserve">7. Q.F./F.E. </t>
    </r>
    <r>
      <rPr>
        <b/>
        <sz val="8.5"/>
        <color rgb="FFFF0000"/>
        <rFont val="Arial"/>
        <family val="2"/>
      </rPr>
      <t>ter</t>
    </r>
  </si>
  <si>
    <r>
      <t xml:space="preserve">7. Q.F./F.E. </t>
    </r>
    <r>
      <rPr>
        <b/>
        <sz val="8.5"/>
        <color rgb="FFFF0000"/>
        <rFont val="Arial"/>
        <family val="2"/>
      </rPr>
      <t>bis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</si>
</sst>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8.5"/>
      <color rgb="FFFF0000"/>
      <name val="Arial"/>
      <family val="2"/>
    </font>
    <font>
      <i/>
      <sz val="9"/>
      <color rgb="FFFF000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9" fillId="0" borderId="0" applyBorder="0" applyAlignment="0" applyProtection="0"/>
  </cellStyleXfs>
  <cellXfs count="140">
    <xf numFmtId="0" fontId="0" fillId="0" borderId="0" xfId="0"/>
    <xf numFmtId="0" fontId="0" fillId="0" borderId="0" xfId="0" applyFont="1"/>
    <xf numFmtId="3" fontId="0" fillId="0" borderId="0" xfId="0" applyNumberFormat="1" applyFont="1"/>
    <xf numFmtId="3" fontId="0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textRotation="180"/>
    </xf>
    <xf numFmtId="0" fontId="5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3" fontId="5" fillId="0" borderId="0" xfId="0" applyNumberFormat="1" applyFont="1" applyBorder="1"/>
    <xf numFmtId="0" fontId="6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3" fontId="2" fillId="2" borderId="1" xfId="0" applyNumberFormat="1" applyFont="1" applyFill="1" applyBorder="1"/>
    <xf numFmtId="3" fontId="2" fillId="0" borderId="1" xfId="0" applyNumberFormat="1" applyFont="1" applyBorder="1"/>
    <xf numFmtId="0" fontId="4" fillId="2" borderId="1" xfId="0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3" fontId="7" fillId="2" borderId="1" xfId="0" applyNumberFormat="1" applyFont="1" applyFill="1" applyBorder="1"/>
    <xf numFmtId="3" fontId="7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3" fontId="4" fillId="3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textRotation="180"/>
    </xf>
    <xf numFmtId="3" fontId="5" fillId="3" borderId="0" xfId="0" applyNumberFormat="1" applyFont="1" applyFill="1" applyBorder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7" fillId="0" borderId="0" xfId="0" applyNumberFormat="1" applyFont="1"/>
    <xf numFmtId="3" fontId="7" fillId="0" borderId="0" xfId="0" applyNumberFormat="1" applyFont="1"/>
    <xf numFmtId="0" fontId="2" fillId="0" borderId="0" xfId="0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/>
    <xf numFmtId="3" fontId="7" fillId="3" borderId="1" xfId="0" applyNumberFormat="1" applyFont="1" applyFill="1" applyBorder="1"/>
    <xf numFmtId="3" fontId="7" fillId="3" borderId="0" xfId="0" applyNumberFormat="1" applyFont="1" applyFill="1"/>
    <xf numFmtId="3" fontId="5" fillId="0" borderId="0" xfId="0" applyNumberFormat="1" applyFont="1"/>
    <xf numFmtId="3" fontId="5" fillId="0" borderId="0" xfId="0" applyNumberFormat="1" applyFont="1"/>
    <xf numFmtId="3" fontId="5" fillId="3" borderId="0" xfId="0" applyNumberFormat="1" applyFont="1" applyFill="1"/>
    <xf numFmtId="4" fontId="2" fillId="2" borderId="1" xfId="0" applyNumberFormat="1" applyFont="1" applyFill="1" applyBorder="1"/>
    <xf numFmtId="4" fontId="2" fillId="0" borderId="1" xfId="0" applyNumberFormat="1" applyFont="1" applyBorder="1"/>
    <xf numFmtId="4" fontId="2" fillId="3" borderId="1" xfId="0" applyNumberFormat="1" applyFont="1" applyFill="1" applyBorder="1"/>
    <xf numFmtId="4" fontId="7" fillId="2" borderId="1" xfId="0" applyNumberFormat="1" applyFont="1" applyFill="1" applyBorder="1"/>
    <xf numFmtId="4" fontId="7" fillId="0" borderId="1" xfId="0" applyNumberFormat="1" applyFont="1" applyBorder="1"/>
    <xf numFmtId="4" fontId="7" fillId="3" borderId="1" xfId="0" applyNumberFormat="1" applyFont="1" applyFill="1" applyBorder="1"/>
    <xf numFmtId="0" fontId="0" fillId="0" borderId="0" xfId="0" applyFont="1" applyBorder="1"/>
    <xf numFmtId="3" fontId="0" fillId="0" borderId="0" xfId="0" applyNumberFormat="1" applyFont="1" applyBorder="1"/>
    <xf numFmtId="3" fontId="0" fillId="0" borderId="0" xfId="0" applyNumberFormat="1" applyFont="1" applyBorder="1"/>
    <xf numFmtId="3" fontId="2" fillId="3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180"/>
    </xf>
    <xf numFmtId="9" fontId="2" fillId="2" borderId="1" xfId="1" applyFont="1" applyFill="1" applyBorder="1" applyAlignment="1" applyProtection="1">
      <alignment horizontal="center"/>
    </xf>
    <xf numFmtId="9" fontId="7" fillId="2" borderId="1" xfId="1" applyFont="1" applyFill="1" applyBorder="1" applyAlignment="1" applyProtection="1">
      <alignment horizontal="center"/>
    </xf>
    <xf numFmtId="3" fontId="7" fillId="3" borderId="0" xfId="0" applyNumberFormat="1" applyFont="1" applyFill="1" applyBorder="1"/>
    <xf numFmtId="9" fontId="7" fillId="0" borderId="0" xfId="1" applyFont="1" applyBorder="1" applyAlignment="1" applyProtection="1">
      <alignment horizontal="center"/>
    </xf>
    <xf numFmtId="9" fontId="5" fillId="0" borderId="0" xfId="1" applyFont="1" applyBorder="1" applyAlignment="1" applyProtection="1">
      <alignment horizontal="center"/>
    </xf>
    <xf numFmtId="0" fontId="7" fillId="0" borderId="3" xfId="0" applyFont="1" applyBorder="1"/>
    <xf numFmtId="0" fontId="3" fillId="3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0" fontId="7" fillId="2" borderId="1" xfId="0" applyNumberFormat="1" applyFont="1" applyFill="1" applyBorder="1" applyAlignment="1">
      <alignment horizontal="center"/>
    </xf>
    <xf numFmtId="4" fontId="7" fillId="3" borderId="0" xfId="0" applyNumberFormat="1" applyFont="1" applyFill="1" applyBorder="1"/>
    <xf numFmtId="4" fontId="5" fillId="3" borderId="0" xfId="0" applyNumberFormat="1" applyFont="1" applyFill="1" applyBorder="1"/>
    <xf numFmtId="0" fontId="2" fillId="0" borderId="0" xfId="0" applyFont="1" applyAlignment="1">
      <alignment horizontal="center" vertical="center" textRotation="180"/>
    </xf>
    <xf numFmtId="0" fontId="2" fillId="0" borderId="0" xfId="0" applyFont="1" applyAlignment="1">
      <alignment horizontal="center" textRotation="180"/>
    </xf>
    <xf numFmtId="0" fontId="7" fillId="0" borderId="0" xfId="0" applyFont="1" applyAlignment="1">
      <alignment vertical="center" textRotation="180"/>
    </xf>
    <xf numFmtId="0" fontId="2" fillId="0" borderId="3" xfId="0" applyFont="1" applyBorder="1" applyAlignment="1">
      <alignment horizontal="center" vertical="center" textRotation="180"/>
    </xf>
    <xf numFmtId="0" fontId="5" fillId="0" borderId="3" xfId="0" applyFont="1" applyBorder="1"/>
    <xf numFmtId="0" fontId="2" fillId="0" borderId="3" xfId="0" applyFont="1" applyBorder="1"/>
    <xf numFmtId="0" fontId="7" fillId="0" borderId="3" xfId="0" applyFont="1" applyBorder="1" applyAlignment="1">
      <alignment vertical="center" textRotation="180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 vertical="center" textRotation="180"/>
    </xf>
    <xf numFmtId="4" fontId="2" fillId="0" borderId="0" xfId="0" applyNumberFormat="1" applyFont="1" applyAlignment="1">
      <alignment horizontal="center" textRotation="180"/>
    </xf>
    <xf numFmtId="4" fontId="2" fillId="0" borderId="0" xfId="0" applyNumberFormat="1" applyFont="1" applyAlignment="1">
      <alignment horizontal="center"/>
    </xf>
    <xf numFmtId="4" fontId="5" fillId="0" borderId="0" xfId="0" applyNumberFormat="1" applyFont="1" applyBorder="1"/>
    <xf numFmtId="4" fontId="5" fillId="0" borderId="0" xfId="0" applyNumberFormat="1" applyFont="1" applyBorder="1"/>
    <xf numFmtId="4" fontId="5" fillId="0" borderId="0" xfId="0" applyNumberFormat="1" applyFont="1"/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/>
    <xf numFmtId="4" fontId="8" fillId="2" borderId="1" xfId="0" applyNumberFormat="1" applyFont="1" applyFill="1" applyBorder="1"/>
    <xf numFmtId="4" fontId="8" fillId="0" borderId="1" xfId="0" applyNumberFormat="1" applyFont="1" applyBorder="1"/>
    <xf numFmtId="4" fontId="7" fillId="0" borderId="0" xfId="0" applyNumberFormat="1" applyFont="1" applyAlignment="1">
      <alignment vertical="center" textRotation="180"/>
    </xf>
    <xf numFmtId="4" fontId="7" fillId="0" borderId="0" xfId="0" applyNumberFormat="1" applyFont="1"/>
    <xf numFmtId="4" fontId="8" fillId="0" borderId="0" xfId="0" applyNumberFormat="1" applyFont="1"/>
    <xf numFmtId="4" fontId="8" fillId="0" borderId="0" xfId="0" applyNumberFormat="1" applyFont="1"/>
    <xf numFmtId="3" fontId="9" fillId="0" borderId="0" xfId="0" applyNumberFormat="1" applyFont="1"/>
    <xf numFmtId="3" fontId="9" fillId="0" borderId="0" xfId="0" applyNumberFormat="1" applyFont="1"/>
    <xf numFmtId="4" fontId="9" fillId="0" borderId="0" xfId="0" applyNumberFormat="1" applyFont="1"/>
    <xf numFmtId="4" fontId="9" fillId="0" borderId="0" xfId="0" applyNumberFormat="1" applyFont="1"/>
    <xf numFmtId="0" fontId="2" fillId="0" borderId="1" xfId="0" applyFont="1" applyBorder="1" applyAlignment="1">
      <alignment horizontal="center"/>
    </xf>
    <xf numFmtId="4" fontId="10" fillId="2" borderId="1" xfId="0" applyNumberFormat="1" applyFont="1" applyFill="1" applyBorder="1"/>
    <xf numFmtId="4" fontId="10" fillId="0" borderId="1" xfId="0" applyNumberFormat="1" applyFont="1" applyBorder="1"/>
    <xf numFmtId="0" fontId="8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3" borderId="0" xfId="0" applyNumberFormat="1" applyFont="1" applyFill="1"/>
    <xf numFmtId="4" fontId="5" fillId="3" borderId="0" xfId="0" applyNumberFormat="1" applyFont="1" applyFill="1"/>
    <xf numFmtId="4" fontId="2" fillId="0" borderId="3" xfId="0" applyNumberFormat="1" applyFont="1" applyBorder="1" applyAlignment="1">
      <alignment horizontal="center" vertical="center" textRotation="180"/>
    </xf>
    <xf numFmtId="4" fontId="5" fillId="0" borderId="3" xfId="0" applyNumberFormat="1" applyFont="1" applyBorder="1"/>
    <xf numFmtId="4" fontId="2" fillId="0" borderId="3" xfId="0" applyNumberFormat="1" applyFont="1" applyBorder="1"/>
    <xf numFmtId="4" fontId="7" fillId="0" borderId="3" xfId="0" applyNumberFormat="1" applyFont="1" applyBorder="1" applyAlignment="1">
      <alignment vertical="center" textRotation="180"/>
    </xf>
    <xf numFmtId="4" fontId="7" fillId="0" borderId="3" xfId="0" applyNumberFormat="1" applyFont="1" applyBorder="1"/>
    <xf numFmtId="4" fontId="7" fillId="0" borderId="1" xfId="0" applyNumberFormat="1" applyFont="1" applyBorder="1" applyAlignment="1">
      <alignment horizontal="center"/>
    </xf>
    <xf numFmtId="0" fontId="7" fillId="0" borderId="0" xfId="0" applyFont="1"/>
    <xf numFmtId="0" fontId="11" fillId="0" borderId="0" xfId="0" applyFont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3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4" fontId="14" fillId="0" borderId="0" xfId="0" applyNumberFormat="1" applyFont="1" applyBorder="1"/>
    <xf numFmtId="3" fontId="15" fillId="0" borderId="0" xfId="0" applyNumberFormat="1" applyFont="1" applyBorder="1"/>
    <xf numFmtId="3" fontId="16" fillId="3" borderId="0" xfId="0" applyNumberFormat="1" applyFont="1" applyFill="1" applyBorder="1" applyAlignment="1">
      <alignment horizontal="center"/>
    </xf>
    <xf numFmtId="3" fontId="15" fillId="0" borderId="0" xfId="0" applyNumberFormat="1" applyFont="1" applyBorder="1"/>
    <xf numFmtId="3" fontId="16" fillId="0" borderId="0" xfId="0" applyNumberFormat="1" applyFont="1" applyBorder="1" applyAlignment="1">
      <alignment horizontal="center"/>
    </xf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6" fillId="2" borderId="1" xfId="0" applyNumberFormat="1" applyFont="1" applyFill="1" applyBorder="1"/>
    <xf numFmtId="4" fontId="16" fillId="0" borderId="1" xfId="0" applyNumberFormat="1" applyFont="1" applyBorder="1"/>
    <xf numFmtId="4" fontId="16" fillId="3" borderId="1" xfId="0" applyNumberFormat="1" applyFont="1" applyFill="1" applyBorder="1"/>
    <xf numFmtId="0" fontId="16" fillId="0" borderId="0" xfId="0" applyFont="1"/>
    <xf numFmtId="4" fontId="17" fillId="0" borderId="1" xfId="0" applyNumberFormat="1" applyFont="1" applyBorder="1" applyAlignment="1">
      <alignment horizontal="center"/>
    </xf>
    <xf numFmtId="4" fontId="17" fillId="2" borderId="1" xfId="0" applyNumberFormat="1" applyFont="1" applyFill="1" applyBorder="1"/>
    <xf numFmtId="4" fontId="17" fillId="0" borderId="1" xfId="0" applyNumberFormat="1" applyFont="1" applyBorder="1"/>
    <xf numFmtId="4" fontId="17" fillId="3" borderId="1" xfId="0" applyNumberFormat="1" applyFont="1" applyFill="1" applyBorder="1"/>
    <xf numFmtId="0" fontId="17" fillId="0" borderId="0" xfId="0" applyFont="1"/>
    <xf numFmtId="4" fontId="18" fillId="0" borderId="0" xfId="0" applyNumberFormat="1" applyFont="1"/>
    <xf numFmtId="3" fontId="17" fillId="0" borderId="0" xfId="0" applyNumberFormat="1" applyFont="1"/>
    <xf numFmtId="3" fontId="17" fillId="0" borderId="0" xfId="0" applyNumberFormat="1" applyFont="1"/>
    <xf numFmtId="3" fontId="17" fillId="3" borderId="0" xfId="0" applyNumberFormat="1" applyFont="1" applyFill="1"/>
    <xf numFmtId="4" fontId="14" fillId="0" borderId="0" xfId="0" applyNumberFormat="1" applyFont="1"/>
    <xf numFmtId="3" fontId="15" fillId="0" borderId="0" xfId="0" applyNumberFormat="1" applyFont="1"/>
    <xf numFmtId="3" fontId="15" fillId="0" borderId="0" xfId="0" applyNumberFormat="1" applyFont="1"/>
    <xf numFmtId="3" fontId="15" fillId="3" borderId="0" xfId="0" applyNumberFormat="1" applyFont="1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2"/>
  <sheetViews>
    <sheetView topLeftCell="B1" zoomScaleNormal="100" workbookViewId="0">
      <selection activeCell="E37" sqref="E37"/>
    </sheetView>
  </sheetViews>
  <sheetFormatPr baseColWidth="10" defaultColWidth="9.140625" defaultRowHeight="12.75" x14ac:dyDescent="0.2"/>
  <cols>
    <col min="1" max="1" width="0" hidden="1"/>
    <col min="2" max="2" width="25"/>
    <col min="3" max="11" width="12.5703125"/>
    <col min="12" max="12" width="13.85546875"/>
    <col min="13" max="13" width="5.7109375"/>
    <col min="14" max="256" width="11.28515625"/>
    <col min="257" max="1025" width="11.5703125"/>
  </cols>
  <sheetData>
    <row r="1" spans="1:256" x14ac:dyDescent="0.2">
      <c r="A1" s="1"/>
      <c r="B1" s="1"/>
      <c r="C1" s="2"/>
      <c r="D1" s="3"/>
      <c r="E1" s="2"/>
      <c r="F1" s="3"/>
      <c r="G1" s="2"/>
      <c r="H1" s="3"/>
      <c r="I1" s="2"/>
      <c r="J1" s="3"/>
      <c r="K1" s="2"/>
      <c r="L1" s="3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x14ac:dyDescent="0.25">
      <c r="A2" s="5"/>
      <c r="B2" s="6">
        <v>1936.27</v>
      </c>
      <c r="C2" s="7" t="s">
        <v>0</v>
      </c>
      <c r="D2" s="8" t="s">
        <v>1</v>
      </c>
      <c r="E2" s="9" t="s">
        <v>2</v>
      </c>
      <c r="F2" s="8" t="s">
        <v>3</v>
      </c>
      <c r="G2" s="9" t="s">
        <v>4</v>
      </c>
      <c r="H2" s="8" t="s">
        <v>5</v>
      </c>
      <c r="I2" s="9" t="s">
        <v>6</v>
      </c>
      <c r="J2" s="8" t="s">
        <v>7</v>
      </c>
      <c r="K2" s="9" t="s">
        <v>8</v>
      </c>
      <c r="L2" s="10" t="s">
        <v>9</v>
      </c>
      <c r="M2" s="11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" x14ac:dyDescent="0.2">
      <c r="A3" s="12"/>
      <c r="B3" s="13" t="s">
        <v>10</v>
      </c>
      <c r="C3" s="14"/>
      <c r="D3" s="15"/>
      <c r="E3" s="14"/>
      <c r="F3" s="15"/>
      <c r="G3" s="14"/>
      <c r="H3" s="15"/>
      <c r="I3" s="14"/>
      <c r="J3" s="15"/>
      <c r="K3" s="14"/>
      <c r="L3" s="15"/>
      <c r="M3" s="16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15.75" x14ac:dyDescent="0.25">
      <c r="A4" s="17"/>
      <c r="B4" s="18" t="s">
        <v>11</v>
      </c>
      <c r="C4" s="19">
        <f>8209350</f>
        <v>8209350</v>
      </c>
      <c r="D4" s="20">
        <v>9505350</v>
      </c>
      <c r="E4" s="19">
        <v>11044350</v>
      </c>
      <c r="F4" s="20">
        <v>12394350</v>
      </c>
      <c r="G4" s="19">
        <v>14203350</v>
      </c>
      <c r="H4" s="20">
        <v>15701850</v>
      </c>
      <c r="I4" s="19">
        <v>18401850</v>
      </c>
      <c r="J4" s="20">
        <v>24395850</v>
      </c>
      <c r="K4" s="19">
        <v>34034850</v>
      </c>
      <c r="L4" s="20">
        <v>45350550</v>
      </c>
      <c r="M4" s="21" t="s">
        <v>12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15" x14ac:dyDescent="0.2">
      <c r="A5" s="22"/>
      <c r="B5" s="23">
        <v>1</v>
      </c>
      <c r="C5" s="24">
        <f t="shared" ref="C5:C12" si="0">($C$4*0.06*B5)+$C$4</f>
        <v>8701911</v>
      </c>
      <c r="D5" s="25">
        <f t="shared" ref="D5:D32" si="1">($D$4*0.06*B5)+$D$4</f>
        <v>10075671</v>
      </c>
      <c r="E5" s="24">
        <f t="shared" ref="E5:E32" si="2">($E$4*0.06*B5)+$E$4</f>
        <v>11707011</v>
      </c>
      <c r="F5" s="25">
        <f t="shared" ref="F5:F32" si="3">($F$4*0.06*$B5)+$F$4</f>
        <v>13138011</v>
      </c>
      <c r="G5" s="24">
        <f t="shared" ref="G5:G32" si="4">($G$4*0.06*$B5)+$G$4</f>
        <v>15055551</v>
      </c>
      <c r="H5" s="25">
        <f t="shared" ref="H5:H32" si="5">($H$4*0.06*$B5)+$H$4</f>
        <v>16643961</v>
      </c>
      <c r="I5" s="24">
        <f t="shared" ref="I5:I32" si="6">($I$4*0.06*$B5)+$I$4</f>
        <v>19505961</v>
      </c>
      <c r="J5" s="25">
        <f t="shared" ref="J5:J32" si="7">($J$4*0.06*$B5)+$J$4</f>
        <v>25859601</v>
      </c>
      <c r="K5" s="24">
        <f t="shared" ref="K5:K32" si="8">($K$4*0.06*$B5)+$K$4</f>
        <v>36076941</v>
      </c>
      <c r="L5" s="25">
        <f t="shared" ref="L5:L12" si="9">($L$4*0.06*$B5)+$L$4</f>
        <v>48071583</v>
      </c>
      <c r="M5" s="26" t="s">
        <v>13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15" x14ac:dyDescent="0.2">
      <c r="A6" s="22"/>
      <c r="B6" s="23">
        <v>2</v>
      </c>
      <c r="C6" s="24">
        <f t="shared" si="0"/>
        <v>9194472</v>
      </c>
      <c r="D6" s="25">
        <f t="shared" si="1"/>
        <v>10645992</v>
      </c>
      <c r="E6" s="24">
        <f t="shared" si="2"/>
        <v>12369672</v>
      </c>
      <c r="F6" s="25">
        <f t="shared" si="3"/>
        <v>13881672</v>
      </c>
      <c r="G6" s="24">
        <f t="shared" si="4"/>
        <v>15907752</v>
      </c>
      <c r="H6" s="25">
        <f t="shared" si="5"/>
        <v>17586072</v>
      </c>
      <c r="I6" s="24">
        <f t="shared" si="6"/>
        <v>20610072</v>
      </c>
      <c r="J6" s="25">
        <f t="shared" si="7"/>
        <v>27323352</v>
      </c>
      <c r="K6" s="24">
        <f t="shared" si="8"/>
        <v>38119032</v>
      </c>
      <c r="L6" s="25">
        <f t="shared" si="9"/>
        <v>50792616</v>
      </c>
      <c r="M6" s="27" t="s">
        <v>14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15" x14ac:dyDescent="0.2">
      <c r="A7" s="22"/>
      <c r="B7" s="23">
        <v>3</v>
      </c>
      <c r="C7" s="24">
        <f t="shared" si="0"/>
        <v>9687033</v>
      </c>
      <c r="D7" s="25">
        <f t="shared" si="1"/>
        <v>11216313</v>
      </c>
      <c r="E7" s="24">
        <f t="shared" si="2"/>
        <v>13032333</v>
      </c>
      <c r="F7" s="25">
        <f t="shared" si="3"/>
        <v>14625333</v>
      </c>
      <c r="G7" s="24">
        <f t="shared" si="4"/>
        <v>16759953</v>
      </c>
      <c r="H7" s="25">
        <f t="shared" si="5"/>
        <v>18528183</v>
      </c>
      <c r="I7" s="24">
        <f t="shared" si="6"/>
        <v>21714183</v>
      </c>
      <c r="J7" s="25">
        <f t="shared" si="7"/>
        <v>28787103</v>
      </c>
      <c r="K7" s="24">
        <f t="shared" si="8"/>
        <v>40161123</v>
      </c>
      <c r="L7" s="25">
        <f t="shared" si="9"/>
        <v>53513649</v>
      </c>
      <c r="M7" s="26" t="s">
        <v>15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ht="15" x14ac:dyDescent="0.2">
      <c r="A8" s="22"/>
      <c r="B8" s="23">
        <v>4</v>
      </c>
      <c r="C8" s="24">
        <f t="shared" si="0"/>
        <v>10179594</v>
      </c>
      <c r="D8" s="25">
        <f t="shared" si="1"/>
        <v>11786634</v>
      </c>
      <c r="E8" s="24">
        <f t="shared" si="2"/>
        <v>13694994</v>
      </c>
      <c r="F8" s="25">
        <f t="shared" si="3"/>
        <v>15368994</v>
      </c>
      <c r="G8" s="24">
        <f t="shared" si="4"/>
        <v>17612154</v>
      </c>
      <c r="H8" s="25">
        <f t="shared" si="5"/>
        <v>19470294</v>
      </c>
      <c r="I8" s="24">
        <f t="shared" si="6"/>
        <v>22818294</v>
      </c>
      <c r="J8" s="25">
        <f t="shared" si="7"/>
        <v>30250854</v>
      </c>
      <c r="K8" s="24">
        <f t="shared" si="8"/>
        <v>42203214</v>
      </c>
      <c r="L8" s="25">
        <f t="shared" si="9"/>
        <v>56234682</v>
      </c>
      <c r="M8" s="26" t="s">
        <v>16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ht="15" x14ac:dyDescent="0.2">
      <c r="A9" s="22"/>
      <c r="B9" s="23">
        <v>5</v>
      </c>
      <c r="C9" s="24">
        <f t="shared" si="0"/>
        <v>10672155</v>
      </c>
      <c r="D9" s="25">
        <f t="shared" si="1"/>
        <v>12356955</v>
      </c>
      <c r="E9" s="24">
        <f t="shared" si="2"/>
        <v>14357655</v>
      </c>
      <c r="F9" s="25">
        <f t="shared" si="3"/>
        <v>16112655</v>
      </c>
      <c r="G9" s="24">
        <f t="shared" si="4"/>
        <v>18464355</v>
      </c>
      <c r="H9" s="25">
        <f t="shared" si="5"/>
        <v>20412405</v>
      </c>
      <c r="I9" s="24">
        <f t="shared" si="6"/>
        <v>23922405</v>
      </c>
      <c r="J9" s="25">
        <f t="shared" si="7"/>
        <v>31714605</v>
      </c>
      <c r="K9" s="24">
        <f t="shared" si="8"/>
        <v>44245305</v>
      </c>
      <c r="L9" s="25">
        <f t="shared" si="9"/>
        <v>58955715</v>
      </c>
      <c r="M9" s="27" t="s">
        <v>17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pans="1:256" ht="15" x14ac:dyDescent="0.2">
      <c r="A10" s="22"/>
      <c r="B10" s="23">
        <v>6</v>
      </c>
      <c r="C10" s="24">
        <f t="shared" si="0"/>
        <v>11164716</v>
      </c>
      <c r="D10" s="25">
        <f t="shared" si="1"/>
        <v>12927276</v>
      </c>
      <c r="E10" s="24">
        <f t="shared" si="2"/>
        <v>15020316</v>
      </c>
      <c r="F10" s="25">
        <f t="shared" si="3"/>
        <v>16856316</v>
      </c>
      <c r="G10" s="24">
        <f t="shared" si="4"/>
        <v>19316556</v>
      </c>
      <c r="H10" s="25">
        <f t="shared" si="5"/>
        <v>21354516</v>
      </c>
      <c r="I10" s="24">
        <f t="shared" si="6"/>
        <v>25026516</v>
      </c>
      <c r="J10" s="25">
        <f t="shared" si="7"/>
        <v>33178356</v>
      </c>
      <c r="K10" s="24">
        <f t="shared" si="8"/>
        <v>46287396</v>
      </c>
      <c r="L10" s="25">
        <f t="shared" si="9"/>
        <v>61676748</v>
      </c>
      <c r="M10" s="26" t="s">
        <v>18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ht="15" x14ac:dyDescent="0.2">
      <c r="A11" s="22"/>
      <c r="B11" s="23">
        <v>7</v>
      </c>
      <c r="C11" s="24">
        <f t="shared" si="0"/>
        <v>11657277</v>
      </c>
      <c r="D11" s="25">
        <f t="shared" si="1"/>
        <v>13497597</v>
      </c>
      <c r="E11" s="24">
        <f t="shared" si="2"/>
        <v>15682977</v>
      </c>
      <c r="F11" s="25">
        <f t="shared" si="3"/>
        <v>17599977</v>
      </c>
      <c r="G11" s="24">
        <f t="shared" si="4"/>
        <v>20168757</v>
      </c>
      <c r="H11" s="25">
        <f t="shared" si="5"/>
        <v>22296627</v>
      </c>
      <c r="I11" s="24">
        <f t="shared" si="6"/>
        <v>26130627</v>
      </c>
      <c r="J11" s="25">
        <f t="shared" si="7"/>
        <v>34642107</v>
      </c>
      <c r="K11" s="24">
        <f t="shared" si="8"/>
        <v>48329487</v>
      </c>
      <c r="L11" s="25">
        <f t="shared" si="9"/>
        <v>64397781</v>
      </c>
      <c r="M11" s="26" t="s">
        <v>19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" x14ac:dyDescent="0.2">
      <c r="A12" s="22"/>
      <c r="B12" s="23">
        <v>8</v>
      </c>
      <c r="C12" s="24">
        <f t="shared" si="0"/>
        <v>12149838</v>
      </c>
      <c r="D12" s="25">
        <f t="shared" si="1"/>
        <v>14067918</v>
      </c>
      <c r="E12" s="24">
        <f t="shared" si="2"/>
        <v>16345638</v>
      </c>
      <c r="F12" s="25">
        <f t="shared" si="3"/>
        <v>18343638</v>
      </c>
      <c r="G12" s="24">
        <f t="shared" si="4"/>
        <v>21020958</v>
      </c>
      <c r="H12" s="25">
        <f t="shared" si="5"/>
        <v>23238738</v>
      </c>
      <c r="I12" s="24">
        <f t="shared" si="6"/>
        <v>27234738</v>
      </c>
      <c r="J12" s="25">
        <f t="shared" si="7"/>
        <v>36105858</v>
      </c>
      <c r="K12" s="24">
        <f t="shared" si="8"/>
        <v>50371578</v>
      </c>
      <c r="L12" s="25">
        <f t="shared" si="9"/>
        <v>67118814</v>
      </c>
      <c r="M12" s="27" t="s">
        <v>20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ht="15" x14ac:dyDescent="0.2">
      <c r="A13" s="22"/>
      <c r="B13" s="23">
        <v>9</v>
      </c>
      <c r="C13" s="24">
        <f>($C$4*151.7/100)</f>
        <v>12453583.949999999</v>
      </c>
      <c r="D13" s="25">
        <f t="shared" si="1"/>
        <v>14638239</v>
      </c>
      <c r="E13" s="24">
        <f t="shared" si="2"/>
        <v>17008299</v>
      </c>
      <c r="F13" s="25">
        <f t="shared" si="3"/>
        <v>19087299</v>
      </c>
      <c r="G13" s="24">
        <f t="shared" si="4"/>
        <v>21873159</v>
      </c>
      <c r="H13" s="25">
        <f t="shared" si="5"/>
        <v>24180849</v>
      </c>
      <c r="I13" s="24">
        <f t="shared" si="6"/>
        <v>28338849</v>
      </c>
      <c r="J13" s="25">
        <f t="shared" si="7"/>
        <v>37569609</v>
      </c>
      <c r="K13" s="24">
        <f t="shared" si="8"/>
        <v>52413669</v>
      </c>
      <c r="L13" s="25">
        <f>(L$4*151.7/100)</f>
        <v>68796784.349999994</v>
      </c>
      <c r="M13" s="26" t="s">
        <v>21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15" x14ac:dyDescent="0.2">
      <c r="A14" s="22">
        <v>1</v>
      </c>
      <c r="B14" s="23">
        <v>10</v>
      </c>
      <c r="C14" s="24">
        <f>(C$4*(151.7+(3.7*$A$14))/100)</f>
        <v>12757329.899999999</v>
      </c>
      <c r="D14" s="25">
        <f t="shared" si="1"/>
        <v>15208560</v>
      </c>
      <c r="E14" s="24">
        <f t="shared" si="2"/>
        <v>17670960</v>
      </c>
      <c r="F14" s="25">
        <f t="shared" si="3"/>
        <v>19830960</v>
      </c>
      <c r="G14" s="24">
        <f t="shared" si="4"/>
        <v>22725360</v>
      </c>
      <c r="H14" s="25">
        <f t="shared" si="5"/>
        <v>25122960</v>
      </c>
      <c r="I14" s="24">
        <f t="shared" si="6"/>
        <v>29442960</v>
      </c>
      <c r="J14" s="25">
        <f t="shared" si="7"/>
        <v>39033360</v>
      </c>
      <c r="K14" s="24">
        <f t="shared" si="8"/>
        <v>54455760</v>
      </c>
      <c r="L14" s="25">
        <f t="shared" ref="L14:L32" si="10">(L$4*(151.7+(3.7*A14))/100)</f>
        <v>70474754.699999988</v>
      </c>
      <c r="M14" s="26" t="s">
        <v>22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5" x14ac:dyDescent="0.2">
      <c r="A15" s="22">
        <v>2</v>
      </c>
      <c r="B15" s="23">
        <v>11</v>
      </c>
      <c r="C15" s="24">
        <f t="shared" ref="C15:C32" si="11">($C$4*(151.7+(3.7*A15))/100)</f>
        <v>13061075.85</v>
      </c>
      <c r="D15" s="25">
        <f t="shared" si="1"/>
        <v>15778881</v>
      </c>
      <c r="E15" s="24">
        <f t="shared" si="2"/>
        <v>18333621</v>
      </c>
      <c r="F15" s="25">
        <f t="shared" si="3"/>
        <v>20574621</v>
      </c>
      <c r="G15" s="24">
        <f t="shared" si="4"/>
        <v>23577561</v>
      </c>
      <c r="H15" s="25">
        <f t="shared" si="5"/>
        <v>26065071</v>
      </c>
      <c r="I15" s="24">
        <f t="shared" si="6"/>
        <v>30547071</v>
      </c>
      <c r="J15" s="25">
        <f t="shared" si="7"/>
        <v>40497111</v>
      </c>
      <c r="K15" s="24">
        <f t="shared" si="8"/>
        <v>56497851</v>
      </c>
      <c r="L15" s="25">
        <f t="shared" si="10"/>
        <v>72152725.049999997</v>
      </c>
      <c r="M15" s="27" t="s">
        <v>23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15" x14ac:dyDescent="0.2">
      <c r="A16" s="22">
        <v>3</v>
      </c>
      <c r="B16" s="23">
        <v>12</v>
      </c>
      <c r="C16" s="24">
        <f t="shared" si="11"/>
        <v>13364821.799999997</v>
      </c>
      <c r="D16" s="25">
        <f t="shared" si="1"/>
        <v>16349202</v>
      </c>
      <c r="E16" s="24">
        <f t="shared" si="2"/>
        <v>18996282</v>
      </c>
      <c r="F16" s="25">
        <f t="shared" si="3"/>
        <v>21318282</v>
      </c>
      <c r="G16" s="24">
        <f t="shared" si="4"/>
        <v>24429762</v>
      </c>
      <c r="H16" s="25">
        <f t="shared" si="5"/>
        <v>27007182</v>
      </c>
      <c r="I16" s="24">
        <f t="shared" si="6"/>
        <v>31651182</v>
      </c>
      <c r="J16" s="25">
        <f t="shared" si="7"/>
        <v>41960862</v>
      </c>
      <c r="K16" s="24">
        <f t="shared" si="8"/>
        <v>58539942</v>
      </c>
      <c r="L16" s="25">
        <f t="shared" si="10"/>
        <v>73830695.399999991</v>
      </c>
      <c r="M16" s="26" t="s">
        <v>24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5" x14ac:dyDescent="0.2">
      <c r="A17" s="22">
        <v>4</v>
      </c>
      <c r="B17" s="23">
        <v>13</v>
      </c>
      <c r="C17" s="24">
        <f t="shared" si="11"/>
        <v>13668567.75</v>
      </c>
      <c r="D17" s="25">
        <f t="shared" si="1"/>
        <v>16919523</v>
      </c>
      <c r="E17" s="24">
        <f t="shared" si="2"/>
        <v>19658943</v>
      </c>
      <c r="F17" s="25">
        <f t="shared" si="3"/>
        <v>22061943</v>
      </c>
      <c r="G17" s="24">
        <f t="shared" si="4"/>
        <v>25281963</v>
      </c>
      <c r="H17" s="25">
        <f t="shared" si="5"/>
        <v>27949293</v>
      </c>
      <c r="I17" s="24">
        <f t="shared" si="6"/>
        <v>32755293</v>
      </c>
      <c r="J17" s="25">
        <f t="shared" si="7"/>
        <v>43424613</v>
      </c>
      <c r="K17" s="24">
        <f t="shared" si="8"/>
        <v>60582033</v>
      </c>
      <c r="L17" s="25">
        <f t="shared" si="10"/>
        <v>75508665.75</v>
      </c>
      <c r="M17" s="26" t="s">
        <v>25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5" x14ac:dyDescent="0.2">
      <c r="A18" s="22">
        <v>5</v>
      </c>
      <c r="B18" s="23">
        <v>14</v>
      </c>
      <c r="C18" s="24">
        <f t="shared" si="11"/>
        <v>13972313.699999999</v>
      </c>
      <c r="D18" s="25">
        <f t="shared" si="1"/>
        <v>17489844</v>
      </c>
      <c r="E18" s="24">
        <f t="shared" si="2"/>
        <v>20321604</v>
      </c>
      <c r="F18" s="25">
        <f t="shared" si="3"/>
        <v>22805604</v>
      </c>
      <c r="G18" s="24">
        <f t="shared" si="4"/>
        <v>26134164</v>
      </c>
      <c r="H18" s="25">
        <f t="shared" si="5"/>
        <v>28891404</v>
      </c>
      <c r="I18" s="24">
        <f t="shared" si="6"/>
        <v>33859404</v>
      </c>
      <c r="J18" s="25">
        <f t="shared" si="7"/>
        <v>44888364</v>
      </c>
      <c r="K18" s="24">
        <f t="shared" si="8"/>
        <v>62624124</v>
      </c>
      <c r="L18" s="25">
        <f t="shared" si="10"/>
        <v>77186636.099999994</v>
      </c>
      <c r="M18" s="27" t="s">
        <v>26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15" x14ac:dyDescent="0.2">
      <c r="A19" s="22">
        <v>6</v>
      </c>
      <c r="B19" s="23">
        <v>15</v>
      </c>
      <c r="C19" s="24">
        <f t="shared" si="11"/>
        <v>14276059.649999999</v>
      </c>
      <c r="D19" s="25">
        <f t="shared" si="1"/>
        <v>18060165</v>
      </c>
      <c r="E19" s="24">
        <f t="shared" si="2"/>
        <v>20984265</v>
      </c>
      <c r="F19" s="25">
        <f t="shared" si="3"/>
        <v>23549265</v>
      </c>
      <c r="G19" s="24">
        <f t="shared" si="4"/>
        <v>26986365</v>
      </c>
      <c r="H19" s="25">
        <f t="shared" si="5"/>
        <v>29833515</v>
      </c>
      <c r="I19" s="24">
        <f t="shared" si="6"/>
        <v>34963515</v>
      </c>
      <c r="J19" s="25">
        <f t="shared" si="7"/>
        <v>46352115</v>
      </c>
      <c r="K19" s="24">
        <f t="shared" si="8"/>
        <v>64666215</v>
      </c>
      <c r="L19" s="25">
        <f t="shared" si="10"/>
        <v>78864606.449999988</v>
      </c>
      <c r="M19" s="26" t="s">
        <v>27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15" x14ac:dyDescent="0.2">
      <c r="A20" s="22">
        <v>7</v>
      </c>
      <c r="B20" s="23">
        <v>16</v>
      </c>
      <c r="C20" s="24">
        <f t="shared" si="11"/>
        <v>14579805.6</v>
      </c>
      <c r="D20" s="25">
        <f t="shared" si="1"/>
        <v>18630486</v>
      </c>
      <c r="E20" s="24">
        <f t="shared" si="2"/>
        <v>21646926</v>
      </c>
      <c r="F20" s="25">
        <f t="shared" si="3"/>
        <v>24292926</v>
      </c>
      <c r="G20" s="24">
        <f t="shared" si="4"/>
        <v>27838566</v>
      </c>
      <c r="H20" s="25">
        <f t="shared" si="5"/>
        <v>30775626</v>
      </c>
      <c r="I20" s="24">
        <f t="shared" si="6"/>
        <v>36067626</v>
      </c>
      <c r="J20" s="25">
        <f t="shared" si="7"/>
        <v>47815866</v>
      </c>
      <c r="K20" s="24">
        <f t="shared" si="8"/>
        <v>66708306</v>
      </c>
      <c r="L20" s="25">
        <f t="shared" si="10"/>
        <v>80542576.799999997</v>
      </c>
      <c r="M20" s="26" t="s">
        <v>28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15" x14ac:dyDescent="0.2">
      <c r="A21" s="22">
        <v>8</v>
      </c>
      <c r="B21" s="23">
        <v>17</v>
      </c>
      <c r="C21" s="24">
        <f t="shared" si="11"/>
        <v>14883551.549999997</v>
      </c>
      <c r="D21" s="25">
        <f t="shared" si="1"/>
        <v>19200807</v>
      </c>
      <c r="E21" s="24">
        <f t="shared" si="2"/>
        <v>22309587</v>
      </c>
      <c r="F21" s="25">
        <f t="shared" si="3"/>
        <v>25036587</v>
      </c>
      <c r="G21" s="24">
        <f t="shared" si="4"/>
        <v>28690767</v>
      </c>
      <c r="H21" s="25">
        <f t="shared" si="5"/>
        <v>31717737</v>
      </c>
      <c r="I21" s="24">
        <f t="shared" si="6"/>
        <v>37171737</v>
      </c>
      <c r="J21" s="25">
        <f t="shared" si="7"/>
        <v>49279617</v>
      </c>
      <c r="K21" s="24">
        <f t="shared" si="8"/>
        <v>68750397</v>
      </c>
      <c r="L21" s="25">
        <f t="shared" si="10"/>
        <v>82220547.149999991</v>
      </c>
      <c r="M21" s="27" t="s">
        <v>29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15" x14ac:dyDescent="0.2">
      <c r="A22" s="22">
        <v>9</v>
      </c>
      <c r="B22" s="23">
        <v>18</v>
      </c>
      <c r="C22" s="24">
        <f t="shared" si="11"/>
        <v>15187297.5</v>
      </c>
      <c r="D22" s="25">
        <f t="shared" si="1"/>
        <v>19771128</v>
      </c>
      <c r="E22" s="24">
        <f t="shared" si="2"/>
        <v>22972248</v>
      </c>
      <c r="F22" s="25">
        <f t="shared" si="3"/>
        <v>25780248</v>
      </c>
      <c r="G22" s="24">
        <f t="shared" si="4"/>
        <v>29542968</v>
      </c>
      <c r="H22" s="25">
        <f t="shared" si="5"/>
        <v>32659848</v>
      </c>
      <c r="I22" s="24">
        <f t="shared" si="6"/>
        <v>38275848</v>
      </c>
      <c r="J22" s="25">
        <f t="shared" si="7"/>
        <v>50743368</v>
      </c>
      <c r="K22" s="24">
        <f t="shared" si="8"/>
        <v>70792488</v>
      </c>
      <c r="L22" s="25">
        <f t="shared" si="10"/>
        <v>83898517.5</v>
      </c>
      <c r="M22" s="26" t="s">
        <v>30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15" x14ac:dyDescent="0.2">
      <c r="A23" s="22">
        <v>10</v>
      </c>
      <c r="B23" s="23">
        <v>19</v>
      </c>
      <c r="C23" s="24">
        <f t="shared" si="11"/>
        <v>15491043.449999999</v>
      </c>
      <c r="D23" s="25">
        <f t="shared" si="1"/>
        <v>20341449</v>
      </c>
      <c r="E23" s="24">
        <f t="shared" si="2"/>
        <v>23634909</v>
      </c>
      <c r="F23" s="25">
        <f t="shared" si="3"/>
        <v>26523909</v>
      </c>
      <c r="G23" s="24">
        <f t="shared" si="4"/>
        <v>30395169</v>
      </c>
      <c r="H23" s="25">
        <f t="shared" si="5"/>
        <v>33601959</v>
      </c>
      <c r="I23" s="24">
        <f t="shared" si="6"/>
        <v>39379959</v>
      </c>
      <c r="J23" s="25">
        <f t="shared" si="7"/>
        <v>52207119</v>
      </c>
      <c r="K23" s="24">
        <f t="shared" si="8"/>
        <v>72834579</v>
      </c>
      <c r="L23" s="25">
        <f t="shared" si="10"/>
        <v>85576487.849999994</v>
      </c>
      <c r="M23" s="26" t="s">
        <v>31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15" x14ac:dyDescent="0.2">
      <c r="A24" s="22">
        <v>11</v>
      </c>
      <c r="B24" s="23">
        <v>20</v>
      </c>
      <c r="C24" s="24">
        <f t="shared" si="11"/>
        <v>15794789.399999999</v>
      </c>
      <c r="D24" s="25">
        <f t="shared" si="1"/>
        <v>20911770</v>
      </c>
      <c r="E24" s="24">
        <f t="shared" si="2"/>
        <v>24297570</v>
      </c>
      <c r="F24" s="25">
        <f t="shared" si="3"/>
        <v>27267570</v>
      </c>
      <c r="G24" s="24">
        <f t="shared" si="4"/>
        <v>31247370</v>
      </c>
      <c r="H24" s="25">
        <f t="shared" si="5"/>
        <v>34544070</v>
      </c>
      <c r="I24" s="24">
        <f t="shared" si="6"/>
        <v>40484070</v>
      </c>
      <c r="J24" s="25">
        <f t="shared" si="7"/>
        <v>53670870</v>
      </c>
      <c r="K24" s="24">
        <f t="shared" si="8"/>
        <v>74876670</v>
      </c>
      <c r="L24" s="25">
        <f t="shared" si="10"/>
        <v>87254458.199999988</v>
      </c>
      <c r="M24" s="27" t="s">
        <v>32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5" x14ac:dyDescent="0.2">
      <c r="A25" s="22">
        <v>12</v>
      </c>
      <c r="B25" s="23">
        <v>21</v>
      </c>
      <c r="C25" s="24">
        <f t="shared" si="11"/>
        <v>16098535.35</v>
      </c>
      <c r="D25" s="25">
        <f t="shared" si="1"/>
        <v>21482091</v>
      </c>
      <c r="E25" s="24">
        <f t="shared" si="2"/>
        <v>24960231</v>
      </c>
      <c r="F25" s="25">
        <f t="shared" si="3"/>
        <v>28011231</v>
      </c>
      <c r="G25" s="24">
        <f t="shared" si="4"/>
        <v>32099571</v>
      </c>
      <c r="H25" s="25">
        <f t="shared" si="5"/>
        <v>35486181</v>
      </c>
      <c r="I25" s="24">
        <f t="shared" si="6"/>
        <v>41588181</v>
      </c>
      <c r="J25" s="25">
        <f t="shared" si="7"/>
        <v>55134621</v>
      </c>
      <c r="K25" s="24">
        <f t="shared" si="8"/>
        <v>76918761</v>
      </c>
      <c r="L25" s="25">
        <f t="shared" si="10"/>
        <v>88932428.549999997</v>
      </c>
      <c r="M25" s="26" t="s">
        <v>33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15" x14ac:dyDescent="0.2">
      <c r="A26" s="22">
        <v>13</v>
      </c>
      <c r="B26" s="23">
        <v>22</v>
      </c>
      <c r="C26" s="24">
        <f t="shared" si="11"/>
        <v>16402281.299999997</v>
      </c>
      <c r="D26" s="25">
        <f t="shared" si="1"/>
        <v>22052412</v>
      </c>
      <c r="E26" s="24">
        <f t="shared" si="2"/>
        <v>25622892</v>
      </c>
      <c r="F26" s="25">
        <f t="shared" si="3"/>
        <v>28754892</v>
      </c>
      <c r="G26" s="24">
        <f t="shared" si="4"/>
        <v>32951772</v>
      </c>
      <c r="H26" s="25">
        <f t="shared" si="5"/>
        <v>36428292</v>
      </c>
      <c r="I26" s="24">
        <f t="shared" si="6"/>
        <v>42692292</v>
      </c>
      <c r="J26" s="25">
        <f t="shared" si="7"/>
        <v>56598372</v>
      </c>
      <c r="K26" s="24">
        <f t="shared" si="8"/>
        <v>78960852</v>
      </c>
      <c r="L26" s="25">
        <f t="shared" si="10"/>
        <v>90610398.900000006</v>
      </c>
      <c r="M26" s="26" t="s">
        <v>34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5" x14ac:dyDescent="0.2">
      <c r="A27" s="22">
        <v>14</v>
      </c>
      <c r="B27" s="23">
        <v>23</v>
      </c>
      <c r="C27" s="24">
        <f t="shared" si="11"/>
        <v>16706027.25</v>
      </c>
      <c r="D27" s="25">
        <f t="shared" si="1"/>
        <v>22622733</v>
      </c>
      <c r="E27" s="24">
        <f t="shared" si="2"/>
        <v>26285553</v>
      </c>
      <c r="F27" s="25">
        <f t="shared" si="3"/>
        <v>29498553</v>
      </c>
      <c r="G27" s="24">
        <f t="shared" si="4"/>
        <v>33803973</v>
      </c>
      <c r="H27" s="25">
        <f t="shared" si="5"/>
        <v>37370403</v>
      </c>
      <c r="I27" s="24">
        <f t="shared" si="6"/>
        <v>43796403</v>
      </c>
      <c r="J27" s="25">
        <f t="shared" si="7"/>
        <v>58062123</v>
      </c>
      <c r="K27" s="24">
        <f t="shared" si="8"/>
        <v>81002943</v>
      </c>
      <c r="L27" s="25">
        <f t="shared" si="10"/>
        <v>92288369.25</v>
      </c>
      <c r="M27" s="27" t="s">
        <v>35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15" x14ac:dyDescent="0.2">
      <c r="A28" s="22">
        <v>15</v>
      </c>
      <c r="B28" s="23">
        <v>24</v>
      </c>
      <c r="C28" s="24">
        <f t="shared" si="11"/>
        <v>17009773.199999999</v>
      </c>
      <c r="D28" s="25">
        <f t="shared" si="1"/>
        <v>23193054</v>
      </c>
      <c r="E28" s="24">
        <f t="shared" si="2"/>
        <v>26948214</v>
      </c>
      <c r="F28" s="25">
        <f t="shared" si="3"/>
        <v>30242214</v>
      </c>
      <c r="G28" s="24">
        <f t="shared" si="4"/>
        <v>34656174</v>
      </c>
      <c r="H28" s="25">
        <f t="shared" si="5"/>
        <v>38312514</v>
      </c>
      <c r="I28" s="24">
        <f t="shared" si="6"/>
        <v>44900514</v>
      </c>
      <c r="J28" s="25">
        <f t="shared" si="7"/>
        <v>59525874</v>
      </c>
      <c r="K28" s="24">
        <f t="shared" si="8"/>
        <v>83045034</v>
      </c>
      <c r="L28" s="25">
        <f t="shared" si="10"/>
        <v>93966339.599999994</v>
      </c>
      <c r="M28" s="26" t="s">
        <v>36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5" x14ac:dyDescent="0.2">
      <c r="A29" s="22">
        <v>16</v>
      </c>
      <c r="B29" s="23">
        <v>25</v>
      </c>
      <c r="C29" s="24">
        <f t="shared" si="11"/>
        <v>17313519.149999999</v>
      </c>
      <c r="D29" s="25">
        <f t="shared" si="1"/>
        <v>23763375</v>
      </c>
      <c r="E29" s="24">
        <f t="shared" si="2"/>
        <v>27610875</v>
      </c>
      <c r="F29" s="25">
        <f t="shared" si="3"/>
        <v>30985875</v>
      </c>
      <c r="G29" s="24">
        <f t="shared" si="4"/>
        <v>35508375</v>
      </c>
      <c r="H29" s="25">
        <f t="shared" si="5"/>
        <v>39254625</v>
      </c>
      <c r="I29" s="24">
        <f t="shared" si="6"/>
        <v>46004625</v>
      </c>
      <c r="J29" s="25">
        <f t="shared" si="7"/>
        <v>60989625</v>
      </c>
      <c r="K29" s="24">
        <f t="shared" si="8"/>
        <v>85087125</v>
      </c>
      <c r="L29" s="25">
        <f t="shared" si="10"/>
        <v>95644309.949999988</v>
      </c>
      <c r="M29" s="26" t="s">
        <v>37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15" x14ac:dyDescent="0.2">
      <c r="A30" s="22">
        <v>17</v>
      </c>
      <c r="B30" s="23">
        <v>26</v>
      </c>
      <c r="C30" s="24">
        <f t="shared" si="11"/>
        <v>17617265.100000001</v>
      </c>
      <c r="D30" s="25">
        <f t="shared" si="1"/>
        <v>24333696</v>
      </c>
      <c r="E30" s="24">
        <f t="shared" si="2"/>
        <v>28273536</v>
      </c>
      <c r="F30" s="25">
        <f t="shared" si="3"/>
        <v>31729536</v>
      </c>
      <c r="G30" s="24">
        <f t="shared" si="4"/>
        <v>36360576</v>
      </c>
      <c r="H30" s="25">
        <f t="shared" si="5"/>
        <v>40196736</v>
      </c>
      <c r="I30" s="24">
        <f t="shared" si="6"/>
        <v>47108736</v>
      </c>
      <c r="J30" s="25">
        <f t="shared" si="7"/>
        <v>62453376</v>
      </c>
      <c r="K30" s="24">
        <f t="shared" si="8"/>
        <v>87129216</v>
      </c>
      <c r="L30" s="25">
        <f t="shared" si="10"/>
        <v>97322280.299999997</v>
      </c>
      <c r="M30" s="27" t="s">
        <v>38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15" x14ac:dyDescent="0.2">
      <c r="A31" s="22">
        <v>18</v>
      </c>
      <c r="B31" s="23">
        <v>27</v>
      </c>
      <c r="C31" s="24">
        <f t="shared" si="11"/>
        <v>17921011.050000001</v>
      </c>
      <c r="D31" s="25">
        <f t="shared" si="1"/>
        <v>24904017</v>
      </c>
      <c r="E31" s="24">
        <f t="shared" si="2"/>
        <v>28936197</v>
      </c>
      <c r="F31" s="25">
        <f t="shared" si="3"/>
        <v>32473197</v>
      </c>
      <c r="G31" s="24">
        <f t="shared" si="4"/>
        <v>37212777</v>
      </c>
      <c r="H31" s="25">
        <f t="shared" si="5"/>
        <v>41138847</v>
      </c>
      <c r="I31" s="24">
        <f t="shared" si="6"/>
        <v>48212847</v>
      </c>
      <c r="J31" s="25">
        <f t="shared" si="7"/>
        <v>63917127</v>
      </c>
      <c r="K31" s="24">
        <f t="shared" si="8"/>
        <v>89171307</v>
      </c>
      <c r="L31" s="25">
        <f t="shared" si="10"/>
        <v>99000250.650000006</v>
      </c>
      <c r="M31" s="26" t="s">
        <v>39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15" x14ac:dyDescent="0.2">
      <c r="A32" s="22">
        <v>19</v>
      </c>
      <c r="B32" s="23">
        <v>28</v>
      </c>
      <c r="C32" s="24">
        <f t="shared" si="11"/>
        <v>18224757</v>
      </c>
      <c r="D32" s="25">
        <f t="shared" si="1"/>
        <v>25474338</v>
      </c>
      <c r="E32" s="24">
        <f t="shared" si="2"/>
        <v>29598858</v>
      </c>
      <c r="F32" s="25">
        <f t="shared" si="3"/>
        <v>33216858</v>
      </c>
      <c r="G32" s="24">
        <f t="shared" si="4"/>
        <v>38064978</v>
      </c>
      <c r="H32" s="25">
        <f t="shared" si="5"/>
        <v>42080958</v>
      </c>
      <c r="I32" s="24">
        <f t="shared" si="6"/>
        <v>49316958</v>
      </c>
      <c r="J32" s="25">
        <f t="shared" si="7"/>
        <v>65380878</v>
      </c>
      <c r="K32" s="24">
        <f t="shared" si="8"/>
        <v>91213398</v>
      </c>
      <c r="L32" s="25">
        <f t="shared" si="10"/>
        <v>100678221</v>
      </c>
      <c r="M32" s="26" t="s">
        <v>40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</sheetData>
  <printOptions horizontalCentered="1" verticalCentered="1"/>
  <pageMargins left="0.39374999999999999" right="0.39374999999999999" top="0.78749999999999998" bottom="0.196527777777778" header="0.51180555555555496" footer="0.51180555555555496"/>
  <pageSetup paperSize="0" scale="0" firstPageNumber="0" orientation="portrait" usePrinterDefaults="0" horizontalDpi="0" verticalDpi="0" copies="0"/>
  <headerFooter>
    <oddHeader>&amp;C&amp;"Comic Sans MS,Standard"Gehaltstabellen von 01.07.1990 bis 30.09.1990 / Tabelle stipendiali dal 01.07.1990  bis 30.09.1990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3.5703125"/>
    <col min="2" max="10" width="14.42578125"/>
    <col min="11" max="256" width="11.28515625"/>
    <col min="257" max="1025" width="11.5703125"/>
  </cols>
  <sheetData>
    <row r="1" spans="1:256" x14ac:dyDescent="0.2">
      <c r="A1" s="1"/>
      <c r="B1" s="2"/>
      <c r="C1" s="3"/>
      <c r="D1" s="2"/>
      <c r="E1" s="3"/>
      <c r="F1" s="2"/>
      <c r="G1" s="3"/>
      <c r="H1" s="2"/>
      <c r="I1" s="3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x14ac:dyDescent="0.25">
      <c r="A2" s="39"/>
      <c r="B2" s="9" t="s">
        <v>44</v>
      </c>
      <c r="C2" s="40" t="s">
        <v>45</v>
      </c>
      <c r="D2" s="9" t="s">
        <v>46</v>
      </c>
      <c r="E2" s="40" t="s">
        <v>47</v>
      </c>
      <c r="F2" s="9" t="s">
        <v>48</v>
      </c>
      <c r="G2" s="40" t="s">
        <v>49</v>
      </c>
      <c r="H2" s="9" t="s">
        <v>50</v>
      </c>
      <c r="I2" s="40" t="s">
        <v>51</v>
      </c>
      <c r="J2" s="9" t="s">
        <v>52</v>
      </c>
      <c r="K2" s="70"/>
      <c r="L2" s="7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" x14ac:dyDescent="0.2">
      <c r="A3" s="13" t="s">
        <v>10</v>
      </c>
      <c r="B3" s="14"/>
      <c r="C3" s="15"/>
      <c r="D3" s="14"/>
      <c r="E3" s="15"/>
      <c r="F3" s="14"/>
      <c r="G3" s="15"/>
      <c r="H3" s="14"/>
      <c r="I3" s="15"/>
      <c r="J3" s="14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15.75" x14ac:dyDescent="0.25">
      <c r="A4" s="18" t="s">
        <v>11</v>
      </c>
      <c r="B4" s="19">
        <v>817019</v>
      </c>
      <c r="C4" s="20">
        <v>1005312</v>
      </c>
      <c r="D4" s="19">
        <v>1171962</v>
      </c>
      <c r="E4" s="20">
        <v>1179537</v>
      </c>
      <c r="F4" s="19">
        <v>1327790</v>
      </c>
      <c r="G4" s="20">
        <v>1481455</v>
      </c>
      <c r="H4" s="19">
        <v>1757401</v>
      </c>
      <c r="I4" s="20">
        <v>2146973</v>
      </c>
      <c r="J4" s="19">
        <v>2564681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15" x14ac:dyDescent="0.2">
      <c r="A5" s="23" t="s">
        <v>53</v>
      </c>
      <c r="B5" s="24">
        <f>(B4*0.06*1)+B4</f>
        <v>866040.14</v>
      </c>
      <c r="C5" s="25">
        <v>1065630</v>
      </c>
      <c r="D5" s="24">
        <v>1242279</v>
      </c>
      <c r="E5" s="25">
        <f>(E4*0.06*1)+E4</f>
        <v>1250309.22</v>
      </c>
      <c r="F5" s="24">
        <v>1407458</v>
      </c>
      <c r="G5" s="25">
        <f>(G4*0.06*1)+G4</f>
        <v>1570342.3</v>
      </c>
      <c r="H5" s="24">
        <v>1862846</v>
      </c>
      <c r="I5" s="25">
        <v>2275792</v>
      </c>
      <c r="J5" s="24">
        <v>2718562</v>
      </c>
      <c r="K5" s="7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15" x14ac:dyDescent="0.2">
      <c r="A6" s="23" t="s">
        <v>54</v>
      </c>
      <c r="B6" s="24">
        <f>(B4*0.06*2)+B4</f>
        <v>915061.28</v>
      </c>
      <c r="C6" s="25">
        <f>(C4*0.06*2)+C4</f>
        <v>1125949.4399999999</v>
      </c>
      <c r="D6" s="24">
        <f>(D4*0.06*2)+D4</f>
        <v>1312597.44</v>
      </c>
      <c r="E6" s="25">
        <f>(E4*0.06*2)+E4</f>
        <v>1321081.44</v>
      </c>
      <c r="F6" s="24">
        <f>(F4*0.06*2)+F4</f>
        <v>1487124.8</v>
      </c>
      <c r="G6" s="25">
        <v>1659229</v>
      </c>
      <c r="H6" s="24">
        <v>1968290</v>
      </c>
      <c r="I6" s="25">
        <f>(I4*0.06*2)+I4</f>
        <v>2404609.7599999998</v>
      </c>
      <c r="J6" s="24">
        <v>2872442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15" x14ac:dyDescent="0.2">
      <c r="A7" s="23" t="s">
        <v>55</v>
      </c>
      <c r="B7" s="24">
        <f>(B4*0.06*3)+B4</f>
        <v>964082.41999999993</v>
      </c>
      <c r="C7" s="25">
        <f>(C4*0.06*3)+C4</f>
        <v>1186268.1599999999</v>
      </c>
      <c r="D7" s="24">
        <f>(D4*0.06*3)+D4</f>
        <v>1382915.16</v>
      </c>
      <c r="E7" s="25">
        <v>1391853</v>
      </c>
      <c r="F7" s="24">
        <v>1566793</v>
      </c>
      <c r="G7" s="25">
        <f>(G4*0.06*3)+G4</f>
        <v>1748116.9</v>
      </c>
      <c r="H7" s="24">
        <v>2073734</v>
      </c>
      <c r="I7" s="25">
        <f>(I4*0.06*3)+I4</f>
        <v>2533428.14</v>
      </c>
      <c r="J7" s="24">
        <v>3026323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ht="15" x14ac:dyDescent="0.2">
      <c r="A8" s="22"/>
      <c r="B8" s="37"/>
      <c r="C8" s="38"/>
      <c r="D8" s="37"/>
      <c r="E8" s="38"/>
      <c r="F8" s="37"/>
      <c r="G8" s="38"/>
      <c r="H8" s="37"/>
      <c r="I8" s="38"/>
      <c r="J8" s="37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ht="15" x14ac:dyDescent="0.2">
      <c r="A9" s="12" t="s">
        <v>56</v>
      </c>
      <c r="B9" s="44"/>
      <c r="C9" s="45"/>
      <c r="D9" s="44"/>
      <c r="E9" s="45"/>
      <c r="F9" s="44"/>
      <c r="G9" s="45"/>
      <c r="H9" s="44"/>
      <c r="I9" s="45"/>
      <c r="J9" s="44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spans="1:256" ht="15.75" x14ac:dyDescent="0.25">
      <c r="A10" s="18" t="s">
        <v>11</v>
      </c>
      <c r="B10" s="19">
        <v>1045351</v>
      </c>
      <c r="C10" s="20">
        <v>1287751</v>
      </c>
      <c r="D10" s="19">
        <v>1521494</v>
      </c>
      <c r="E10" s="20">
        <v>1531233</v>
      </c>
      <c r="F10" s="19">
        <v>1722773</v>
      </c>
      <c r="G10" s="20">
        <v>1958680</v>
      </c>
      <c r="H10" s="19">
        <v>2322280</v>
      </c>
      <c r="I10" s="20">
        <v>2786520</v>
      </c>
      <c r="J10" s="19">
        <v>3419574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ht="15" x14ac:dyDescent="0.2">
      <c r="A11" s="23" t="s">
        <v>57</v>
      </c>
      <c r="B11" s="24">
        <v>1076711</v>
      </c>
      <c r="C11" s="25">
        <f>(C10*0.03*1)+C10</f>
        <v>1326383.53</v>
      </c>
      <c r="D11" s="24">
        <f>(D10*0.03*1)+D10</f>
        <v>1567138.82</v>
      </c>
      <c r="E11" s="25">
        <f>(E10*0.03*1)+E10</f>
        <v>1577169.99</v>
      </c>
      <c r="F11" s="24">
        <f>(F10*0.03*1)+F10</f>
        <v>1774456.19</v>
      </c>
      <c r="G11" s="25">
        <v>2017441</v>
      </c>
      <c r="H11" s="24">
        <v>2391949</v>
      </c>
      <c r="I11" s="25">
        <f>(I10*0.03*1)+I10</f>
        <v>2870115.6</v>
      </c>
      <c r="J11" s="24">
        <f>(J10*0.03*1)+J10</f>
        <v>3522161.22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" x14ac:dyDescent="0.2">
      <c r="A12" s="23" t="s">
        <v>58</v>
      </c>
      <c r="B12" s="24">
        <f t="shared" ref="B12:I12" si="0">(B10*0.03*2)+B10</f>
        <v>1108072.06</v>
      </c>
      <c r="C12" s="25">
        <f t="shared" si="0"/>
        <v>1365016.06</v>
      </c>
      <c r="D12" s="24">
        <f t="shared" si="0"/>
        <v>1612783.64</v>
      </c>
      <c r="E12" s="25">
        <f t="shared" si="0"/>
        <v>1623106.98</v>
      </c>
      <c r="F12" s="24">
        <f t="shared" si="0"/>
        <v>1826139.38</v>
      </c>
      <c r="G12" s="25">
        <f t="shared" si="0"/>
        <v>2076200.8</v>
      </c>
      <c r="H12" s="24">
        <f t="shared" si="0"/>
        <v>2461616.7999999998</v>
      </c>
      <c r="I12" s="25">
        <f t="shared" si="0"/>
        <v>2953711.2</v>
      </c>
      <c r="J12" s="24">
        <v>3624749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ht="15" x14ac:dyDescent="0.2">
      <c r="A13" s="23" t="s">
        <v>59</v>
      </c>
      <c r="B13" s="24">
        <v>1139432</v>
      </c>
      <c r="C13" s="25">
        <f>(C10*0.03*3)+C10</f>
        <v>1403648.59</v>
      </c>
      <c r="D13" s="24">
        <v>1658429</v>
      </c>
      <c r="E13" s="25">
        <f>(E10*0.03*3)+E10</f>
        <v>1669043.97</v>
      </c>
      <c r="F13" s="24">
        <v>1877822</v>
      </c>
      <c r="G13" s="25">
        <f>(G10*0.03*3)+G10</f>
        <v>2134961.2000000002</v>
      </c>
      <c r="H13" s="24">
        <v>2531286</v>
      </c>
      <c r="I13" s="25">
        <f>(I10*0.03*3)+I10</f>
        <v>3037306.8</v>
      </c>
      <c r="J13" s="24">
        <f>(J10*0.03*3)+J10</f>
        <v>3727335.66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15" x14ac:dyDescent="0.2">
      <c r="A14" s="23" t="s">
        <v>60</v>
      </c>
      <c r="B14" s="24">
        <f t="shared" ref="B14:H14" si="1">(B10*0.03*4)+B10</f>
        <v>1170793.1200000001</v>
      </c>
      <c r="C14" s="25">
        <f t="shared" si="1"/>
        <v>1442281.12</v>
      </c>
      <c r="D14" s="24">
        <f t="shared" si="1"/>
        <v>1704073.28</v>
      </c>
      <c r="E14" s="25">
        <f t="shared" si="1"/>
        <v>1714980.96</v>
      </c>
      <c r="F14" s="24">
        <f t="shared" si="1"/>
        <v>1929505.76</v>
      </c>
      <c r="G14" s="25">
        <f t="shared" si="1"/>
        <v>2193721.6</v>
      </c>
      <c r="H14" s="24">
        <f t="shared" si="1"/>
        <v>2600953.6</v>
      </c>
      <c r="I14" s="25">
        <v>3120903</v>
      </c>
      <c r="J14" s="24">
        <f>(J10*0.03*4)+J10</f>
        <v>3829922.88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5" x14ac:dyDescent="0.2">
      <c r="A15" s="23" t="s">
        <v>61</v>
      </c>
      <c r="B15" s="24">
        <v>1202153</v>
      </c>
      <c r="C15" s="25">
        <f>(C10*0.03*5)+C10</f>
        <v>1480913.65</v>
      </c>
      <c r="D15" s="24">
        <f>(D10*0.03*5)+D10</f>
        <v>1749718.1</v>
      </c>
      <c r="E15" s="25">
        <f>(E10*0.03*5)+E10</f>
        <v>1760917.95</v>
      </c>
      <c r="F15" s="24">
        <f>(F10*0.03*5)+F10</f>
        <v>1981188.95</v>
      </c>
      <c r="G15" s="25">
        <f>(G10*0.03*5)+G10</f>
        <v>2252482</v>
      </c>
      <c r="H15" s="24">
        <v>2670623</v>
      </c>
      <c r="I15" s="25">
        <f>(I10*0.03*5)+I10</f>
        <v>3204498</v>
      </c>
      <c r="J15" s="24">
        <f>(J10*0.03*5)+J10</f>
        <v>3932510.1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15" x14ac:dyDescent="0.2">
      <c r="A16" s="23" t="s">
        <v>62</v>
      </c>
      <c r="B16" s="24">
        <f>(B10*0.03*6)+B10</f>
        <v>1233514.18</v>
      </c>
      <c r="C16" s="25">
        <f>(C10*0.03*6)+C10</f>
        <v>1519546.18</v>
      </c>
      <c r="D16" s="24">
        <f>(D10*0.03*6)+D10</f>
        <v>1795362.92</v>
      </c>
      <c r="E16" s="25">
        <f>(E10*0.03*6)+E10</f>
        <v>1806854.94</v>
      </c>
      <c r="F16" s="24">
        <f>(F10*0.03*6)+F10</f>
        <v>2032872.14</v>
      </c>
      <c r="G16" s="25">
        <v>2311243</v>
      </c>
      <c r="H16" s="24">
        <v>2740291</v>
      </c>
      <c r="I16" s="25">
        <f>(I10*0.03*6)+I10</f>
        <v>3288093.6</v>
      </c>
      <c r="J16" s="24">
        <v>4035098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5" x14ac:dyDescent="0.2">
      <c r="A17" s="23" t="s">
        <v>63</v>
      </c>
      <c r="B17" s="24">
        <f t="shared" ref="B17:J17" si="2">(B10*0.03*7)+B10</f>
        <v>1264874.71</v>
      </c>
      <c r="C17" s="25">
        <f t="shared" si="2"/>
        <v>1558178.71</v>
      </c>
      <c r="D17" s="24">
        <f t="shared" si="2"/>
        <v>1841007.74</v>
      </c>
      <c r="E17" s="25">
        <f t="shared" si="2"/>
        <v>1852791.93</v>
      </c>
      <c r="F17" s="24">
        <f t="shared" si="2"/>
        <v>2084555.33</v>
      </c>
      <c r="G17" s="25">
        <f t="shared" si="2"/>
        <v>2370002.7999999998</v>
      </c>
      <c r="H17" s="24">
        <f t="shared" si="2"/>
        <v>2809958.8</v>
      </c>
      <c r="I17" s="25">
        <f t="shared" si="2"/>
        <v>3371689.2</v>
      </c>
      <c r="J17" s="24">
        <f t="shared" si="2"/>
        <v>4137684.54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5" x14ac:dyDescent="0.2">
      <c r="A18" s="23" t="s">
        <v>64</v>
      </c>
      <c r="B18" s="24">
        <f>(B10*0.03*8)+B10</f>
        <v>1296235.24</v>
      </c>
      <c r="C18" s="25">
        <f>(C10*0.03*8)+C10</f>
        <v>1596811.24</v>
      </c>
      <c r="D18" s="24">
        <f>(D10*0.03*8)+D10</f>
        <v>1886652.56</v>
      </c>
      <c r="E18" s="25">
        <f>(E10*0.03*8)+E10</f>
        <v>1898728.92</v>
      </c>
      <c r="F18" s="24">
        <v>2136238</v>
      </c>
      <c r="G18" s="25">
        <f>(G10*0.03*8)+G10</f>
        <v>2428763.2000000002</v>
      </c>
      <c r="H18" s="24">
        <v>2879628</v>
      </c>
      <c r="I18" s="25">
        <f>(I10*0.03*8)+I10</f>
        <v>3455284.8</v>
      </c>
      <c r="J18" s="24">
        <f>(J10*0.03*8)+J10</f>
        <v>4240271.76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15" x14ac:dyDescent="0.2">
      <c r="A19" s="23" t="s">
        <v>65</v>
      </c>
      <c r="B19" s="24">
        <f>(B10*0.03*9)+B10</f>
        <v>1327595.77</v>
      </c>
      <c r="C19" s="25">
        <f>(C10*0.03*9)+C10</f>
        <v>1635443.77</v>
      </c>
      <c r="D19" s="24">
        <v>1932298</v>
      </c>
      <c r="E19" s="25">
        <f>(E10*0.03*9)+E10</f>
        <v>1944665.91</v>
      </c>
      <c r="F19" s="24">
        <f>(F10*0.03*9)+F10</f>
        <v>2187921.71</v>
      </c>
      <c r="G19" s="25">
        <f>(G10*0.03*9)+G10</f>
        <v>2487523.6</v>
      </c>
      <c r="H19" s="24">
        <f>(H10*0.03*9)+H10</f>
        <v>2949295.6</v>
      </c>
      <c r="I19" s="25">
        <v>3538881</v>
      </c>
      <c r="J19" s="24">
        <f>(J10*0.03*9)+J10</f>
        <v>4342858.9800000004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15" x14ac:dyDescent="0.2">
      <c r="A20" s="23" t="s">
        <v>66</v>
      </c>
      <c r="B20" s="24">
        <f t="shared" ref="B20:G20" si="3">(B10*0.03*10)+B10</f>
        <v>1358956.3</v>
      </c>
      <c r="C20" s="25">
        <f t="shared" si="3"/>
        <v>1674076.3</v>
      </c>
      <c r="D20" s="24">
        <f t="shared" si="3"/>
        <v>1977942.2</v>
      </c>
      <c r="E20" s="25">
        <f t="shared" si="3"/>
        <v>1990602.9</v>
      </c>
      <c r="F20" s="24">
        <f t="shared" si="3"/>
        <v>2239604.9</v>
      </c>
      <c r="G20" s="25">
        <f t="shared" si="3"/>
        <v>2546284</v>
      </c>
      <c r="H20" s="24">
        <v>3018965</v>
      </c>
      <c r="I20" s="25">
        <f>(I10*0.03*10)+I10</f>
        <v>3622476</v>
      </c>
      <c r="J20" s="24">
        <v>4445447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15" x14ac:dyDescent="0.2">
      <c r="A21" s="23" t="s">
        <v>67</v>
      </c>
      <c r="B21" s="24">
        <f>(B10*0.03*11)+B10</f>
        <v>1390316.83</v>
      </c>
      <c r="C21" s="25">
        <f>(C10*0.03*11)+C10</f>
        <v>1712708.83</v>
      </c>
      <c r="D21" s="24">
        <f>(D10*0.03*11)+D10</f>
        <v>2023587.02</v>
      </c>
      <c r="E21" s="25">
        <f>(E10*0.03*11)+E10</f>
        <v>2036539.89</v>
      </c>
      <c r="F21" s="24">
        <f>(F10*0.03*11)+F10</f>
        <v>2291288.09</v>
      </c>
      <c r="G21" s="25">
        <v>2605045</v>
      </c>
      <c r="H21" s="24">
        <v>3088633</v>
      </c>
      <c r="I21" s="25">
        <f>(I10*0.03*11)+I10</f>
        <v>3706071.5999999996</v>
      </c>
      <c r="J21" s="24">
        <v>4548034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15" x14ac:dyDescent="0.2">
      <c r="A22" s="23" t="s">
        <v>68</v>
      </c>
      <c r="B22" s="24">
        <f t="shared" ref="B22:J22" si="4">(B10*0.03*12)+B10</f>
        <v>1421677.3599999999</v>
      </c>
      <c r="C22" s="25">
        <f t="shared" si="4"/>
        <v>1751341.3599999999</v>
      </c>
      <c r="D22" s="24">
        <f t="shared" si="4"/>
        <v>2069231.8399999999</v>
      </c>
      <c r="E22" s="25">
        <f t="shared" si="4"/>
        <v>2082476.88</v>
      </c>
      <c r="F22" s="24">
        <f t="shared" si="4"/>
        <v>2342971.2799999998</v>
      </c>
      <c r="G22" s="25">
        <f t="shared" si="4"/>
        <v>2663804.7999999998</v>
      </c>
      <c r="H22" s="24">
        <f t="shared" si="4"/>
        <v>3158300.8</v>
      </c>
      <c r="I22" s="25">
        <f t="shared" si="4"/>
        <v>3789667.2</v>
      </c>
      <c r="J22" s="24">
        <f t="shared" si="4"/>
        <v>4650620.6400000006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15" x14ac:dyDescent="0.2">
      <c r="A23" s="23" t="s">
        <v>69</v>
      </c>
      <c r="B23" s="24">
        <f t="shared" ref="B23:G23" si="5">(B10*0.03*13)+B10</f>
        <v>1453037.8900000001</v>
      </c>
      <c r="C23" s="25">
        <f t="shared" si="5"/>
        <v>1789973.8900000001</v>
      </c>
      <c r="D23" s="24">
        <f t="shared" si="5"/>
        <v>2114876.66</v>
      </c>
      <c r="E23" s="25">
        <f t="shared" si="5"/>
        <v>2128413.87</v>
      </c>
      <c r="F23" s="24">
        <f t="shared" si="5"/>
        <v>2394654.4699999997</v>
      </c>
      <c r="G23" s="25">
        <f t="shared" si="5"/>
        <v>2722565.2</v>
      </c>
      <c r="H23" s="24">
        <v>3227970</v>
      </c>
      <c r="I23" s="25">
        <f>(I10*0.03*13)+I10</f>
        <v>3873262.8</v>
      </c>
      <c r="J23" s="24">
        <f>(J10*0.03*13)+J10</f>
        <v>4753207.8600000003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15" x14ac:dyDescent="0.2">
      <c r="A24" s="23" t="s">
        <v>70</v>
      </c>
      <c r="B24" s="24">
        <f>(B10*0.03*14)+B10</f>
        <v>1484398.42</v>
      </c>
      <c r="C24" s="25">
        <v>1828607</v>
      </c>
      <c r="D24" s="24">
        <v>2160522</v>
      </c>
      <c r="E24" s="25">
        <f>(E10*0.03*14)+E10</f>
        <v>2174350.86</v>
      </c>
      <c r="F24" s="24">
        <v>2446337</v>
      </c>
      <c r="G24" s="25">
        <f>(G10*0.03*14)+G10</f>
        <v>2781325.6</v>
      </c>
      <c r="H24" s="24">
        <f>(H10*0.03*14)+H10</f>
        <v>3297637.5999999996</v>
      </c>
      <c r="I24" s="25">
        <v>3956859</v>
      </c>
      <c r="J24" s="24">
        <f>(J10*0.03*14)+J10</f>
        <v>4855795.08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5" x14ac:dyDescent="0.2">
      <c r="A25" s="23" t="s">
        <v>71</v>
      </c>
      <c r="B25" s="24">
        <f t="shared" ref="B25:G25" si="6">(B10*0.03*15)+B10</f>
        <v>1515758.95</v>
      </c>
      <c r="C25" s="25">
        <f t="shared" si="6"/>
        <v>1867238.95</v>
      </c>
      <c r="D25" s="24">
        <f t="shared" si="6"/>
        <v>2206166.2999999998</v>
      </c>
      <c r="E25" s="25">
        <f t="shared" si="6"/>
        <v>2220287.85</v>
      </c>
      <c r="F25" s="24">
        <f t="shared" si="6"/>
        <v>2498020.85</v>
      </c>
      <c r="G25" s="25">
        <f t="shared" si="6"/>
        <v>2840086</v>
      </c>
      <c r="H25" s="24">
        <v>3367307</v>
      </c>
      <c r="I25" s="25">
        <f>(I10*0.03*15)+I10</f>
        <v>4040454</v>
      </c>
      <c r="J25" s="24">
        <v>4958383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15" x14ac:dyDescent="0.2">
      <c r="A26" s="23" t="s">
        <v>72</v>
      </c>
      <c r="B26" s="24">
        <f>(B10*0.03*16)+B10</f>
        <v>1547119.48</v>
      </c>
      <c r="C26" s="25">
        <v>1905872</v>
      </c>
      <c r="D26" s="24">
        <f>(D10*0.03*16)+D10</f>
        <v>2251811.12</v>
      </c>
      <c r="E26" s="25">
        <f>(E10*0.03*16)+E10</f>
        <v>2266224.84</v>
      </c>
      <c r="F26" s="24">
        <f>(F10*0.03*16)+F10</f>
        <v>2549704.04</v>
      </c>
      <c r="G26" s="25">
        <v>2898847</v>
      </c>
      <c r="H26" s="24">
        <v>3436975</v>
      </c>
      <c r="I26" s="25">
        <f>(I10*0.03*16)+I10</f>
        <v>4124049.5999999996</v>
      </c>
      <c r="J26" s="24">
        <f>(J10*0.03*16)+J10</f>
        <v>5060969.5199999996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5" x14ac:dyDescent="0.2">
      <c r="A27" s="23" t="s">
        <v>73</v>
      </c>
      <c r="B27" s="24">
        <f t="shared" ref="B27:J27" si="7">(B10*0.03*17)+B10</f>
        <v>1578480.01</v>
      </c>
      <c r="C27" s="25">
        <f t="shared" si="7"/>
        <v>1944504.01</v>
      </c>
      <c r="D27" s="24">
        <f t="shared" si="7"/>
        <v>2297455.94</v>
      </c>
      <c r="E27" s="25">
        <f t="shared" si="7"/>
        <v>2312161.83</v>
      </c>
      <c r="F27" s="24">
        <f t="shared" si="7"/>
        <v>2601387.23</v>
      </c>
      <c r="G27" s="25">
        <f t="shared" si="7"/>
        <v>2957606.8</v>
      </c>
      <c r="H27" s="24">
        <f t="shared" si="7"/>
        <v>3506642.8</v>
      </c>
      <c r="I27" s="25">
        <f t="shared" si="7"/>
        <v>4207645.2</v>
      </c>
      <c r="J27" s="24">
        <f t="shared" si="7"/>
        <v>5163556.74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15" x14ac:dyDescent="0.2">
      <c r="A28" s="23" t="s">
        <v>74</v>
      </c>
      <c r="B28" s="24">
        <f t="shared" ref="B28:J28" si="8">(B10*0.03*18)+B10</f>
        <v>1609840.54</v>
      </c>
      <c r="C28" s="25">
        <f t="shared" si="8"/>
        <v>1983136.54</v>
      </c>
      <c r="D28" s="24">
        <f t="shared" si="8"/>
        <v>2343100.7599999998</v>
      </c>
      <c r="E28" s="25">
        <f t="shared" si="8"/>
        <v>2358098.8199999998</v>
      </c>
      <c r="F28" s="24">
        <f t="shared" si="8"/>
        <v>2653070.42</v>
      </c>
      <c r="G28" s="25">
        <f t="shared" si="8"/>
        <v>3016367.2</v>
      </c>
      <c r="H28" s="24">
        <f t="shared" si="8"/>
        <v>3576311.2</v>
      </c>
      <c r="I28" s="25">
        <f t="shared" si="8"/>
        <v>4291240.8</v>
      </c>
      <c r="J28" s="24">
        <f t="shared" si="8"/>
        <v>5266143.96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5" x14ac:dyDescent="0.2">
      <c r="A29" s="23" t="s">
        <v>75</v>
      </c>
      <c r="B29" s="24">
        <f t="shared" ref="B29:J29" si="9">(B10*0.03*19)+B10</f>
        <v>1641201.0699999998</v>
      </c>
      <c r="C29" s="25">
        <f t="shared" si="9"/>
        <v>2021769.0699999998</v>
      </c>
      <c r="D29" s="24">
        <f t="shared" si="9"/>
        <v>2388745.58</v>
      </c>
      <c r="E29" s="25">
        <f t="shared" si="9"/>
        <v>2404035.81</v>
      </c>
      <c r="F29" s="24">
        <f t="shared" si="9"/>
        <v>2704753.61</v>
      </c>
      <c r="G29" s="25">
        <f t="shared" si="9"/>
        <v>3075127.6</v>
      </c>
      <c r="H29" s="24">
        <f t="shared" si="9"/>
        <v>3645979.5999999996</v>
      </c>
      <c r="I29" s="25">
        <f t="shared" si="9"/>
        <v>4374836.4000000004</v>
      </c>
      <c r="J29" s="24">
        <f t="shared" si="9"/>
        <v>5368731.1799999997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15" x14ac:dyDescent="0.2">
      <c r="A30" s="23" t="s">
        <v>76</v>
      </c>
      <c r="B30" s="24">
        <f t="shared" ref="B30:J30" si="10">(B10*0.03*20)+B10</f>
        <v>1672561.6</v>
      </c>
      <c r="C30" s="25">
        <f t="shared" si="10"/>
        <v>2060401.6</v>
      </c>
      <c r="D30" s="24">
        <f t="shared" si="10"/>
        <v>2434390.4</v>
      </c>
      <c r="E30" s="25">
        <f t="shared" si="10"/>
        <v>2449972.7999999998</v>
      </c>
      <c r="F30" s="24">
        <f t="shared" si="10"/>
        <v>2756436.8</v>
      </c>
      <c r="G30" s="25">
        <f t="shared" si="10"/>
        <v>3133888</v>
      </c>
      <c r="H30" s="24">
        <f t="shared" si="10"/>
        <v>3715648</v>
      </c>
      <c r="I30" s="25">
        <f t="shared" si="10"/>
        <v>4458432</v>
      </c>
      <c r="J30" s="24">
        <f t="shared" si="10"/>
        <v>5471318.4000000004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15" x14ac:dyDescent="0.2">
      <c r="A31" s="23" t="s">
        <v>77</v>
      </c>
      <c r="B31" s="24">
        <f t="shared" ref="B31:J31" si="11">(B10*0.03*21)+B10</f>
        <v>1703922.13</v>
      </c>
      <c r="C31" s="25">
        <f t="shared" si="11"/>
        <v>2099034.13</v>
      </c>
      <c r="D31" s="24">
        <f t="shared" si="11"/>
        <v>2480035.2199999997</v>
      </c>
      <c r="E31" s="25">
        <f t="shared" si="11"/>
        <v>2495909.79</v>
      </c>
      <c r="F31" s="24">
        <f t="shared" si="11"/>
        <v>2808119.99</v>
      </c>
      <c r="G31" s="25">
        <f t="shared" si="11"/>
        <v>3192648.4000000004</v>
      </c>
      <c r="H31" s="24">
        <f t="shared" si="11"/>
        <v>3785316.4</v>
      </c>
      <c r="I31" s="25">
        <f t="shared" si="11"/>
        <v>4542027.5999999996</v>
      </c>
      <c r="J31" s="24">
        <f t="shared" si="11"/>
        <v>5573905.6200000001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15" x14ac:dyDescent="0.2">
      <c r="A32" s="23" t="s">
        <v>78</v>
      </c>
      <c r="B32" s="24">
        <f t="shared" ref="B32:J32" si="12">(B10*0.03*22)+B10</f>
        <v>1735282.66</v>
      </c>
      <c r="C32" s="25">
        <f t="shared" si="12"/>
        <v>2137666.66</v>
      </c>
      <c r="D32" s="24">
        <f t="shared" si="12"/>
        <v>2525680.04</v>
      </c>
      <c r="E32" s="25">
        <f t="shared" si="12"/>
        <v>2541846.7799999998</v>
      </c>
      <c r="F32" s="24">
        <f t="shared" si="12"/>
        <v>2859803.1799999997</v>
      </c>
      <c r="G32" s="25">
        <f t="shared" si="12"/>
        <v>3251408.8</v>
      </c>
      <c r="H32" s="24">
        <f t="shared" si="12"/>
        <v>3854984.8</v>
      </c>
      <c r="I32" s="25">
        <f t="shared" si="12"/>
        <v>4625623.1999999993</v>
      </c>
      <c r="J32" s="24">
        <f t="shared" si="12"/>
        <v>5676492.8399999999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ht="15" x14ac:dyDescent="0.2">
      <c r="A33" s="23" t="s">
        <v>79</v>
      </c>
      <c r="B33" s="24">
        <f t="shared" ref="B33:J33" si="13">(B10*0.03*23)+B10</f>
        <v>1766643.19</v>
      </c>
      <c r="C33" s="25">
        <f t="shared" si="13"/>
        <v>2176299.19</v>
      </c>
      <c r="D33" s="24">
        <f t="shared" si="13"/>
        <v>2571324.8600000003</v>
      </c>
      <c r="E33" s="25">
        <f t="shared" si="13"/>
        <v>2587783.77</v>
      </c>
      <c r="F33" s="24">
        <f t="shared" si="13"/>
        <v>2911486.37</v>
      </c>
      <c r="G33" s="25">
        <f t="shared" si="13"/>
        <v>3310169.2</v>
      </c>
      <c r="H33" s="24">
        <f t="shared" si="13"/>
        <v>3924653.2</v>
      </c>
      <c r="I33" s="25">
        <f t="shared" si="13"/>
        <v>4709218.8</v>
      </c>
      <c r="J33" s="24">
        <f t="shared" si="13"/>
        <v>5779080.0600000005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ht="15" x14ac:dyDescent="0.2">
      <c r="A34" s="23" t="s">
        <v>80</v>
      </c>
      <c r="B34" s="24">
        <f t="shared" ref="B34:J34" si="14">(B10*0.03*24)+B10</f>
        <v>1798003.72</v>
      </c>
      <c r="C34" s="25">
        <f t="shared" si="14"/>
        <v>2214931.7199999997</v>
      </c>
      <c r="D34" s="24">
        <f t="shared" si="14"/>
        <v>2616969.6799999997</v>
      </c>
      <c r="E34" s="25">
        <f t="shared" si="14"/>
        <v>2633720.7599999998</v>
      </c>
      <c r="F34" s="24">
        <f t="shared" si="14"/>
        <v>2963169.5599999996</v>
      </c>
      <c r="G34" s="25">
        <f t="shared" si="14"/>
        <v>3368929.6</v>
      </c>
      <c r="H34" s="24">
        <f t="shared" si="14"/>
        <v>3994321.5999999996</v>
      </c>
      <c r="I34" s="25">
        <f t="shared" si="14"/>
        <v>4792814.4000000004</v>
      </c>
      <c r="J34" s="24">
        <f t="shared" si="14"/>
        <v>5881667.2800000003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ht="15" x14ac:dyDescent="0.2">
      <c r="A35" s="23" t="s">
        <v>81</v>
      </c>
      <c r="B35" s="24">
        <f t="shared" ref="B35:J35" si="15">(B10*0.03*25)+B10</f>
        <v>1829364.25</v>
      </c>
      <c r="C35" s="25">
        <f t="shared" si="15"/>
        <v>2253564.25</v>
      </c>
      <c r="D35" s="24">
        <f t="shared" si="15"/>
        <v>2662614.5</v>
      </c>
      <c r="E35" s="25">
        <f t="shared" si="15"/>
        <v>2679657.75</v>
      </c>
      <c r="F35" s="24">
        <f t="shared" si="15"/>
        <v>3014852.75</v>
      </c>
      <c r="G35" s="25">
        <f t="shared" si="15"/>
        <v>3427690</v>
      </c>
      <c r="H35" s="24">
        <f t="shared" si="15"/>
        <v>4063990</v>
      </c>
      <c r="I35" s="25">
        <f t="shared" si="15"/>
        <v>4876410</v>
      </c>
      <c r="J35" s="24">
        <f t="shared" si="15"/>
        <v>5984254.5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</sheetData>
  <printOptions horizontalCentered="1" verticalCentered="1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headerFooter>
    <oddHeader>&amp;C&amp;"Comic Sans MS,Fett"Gehaltstabellen von 01.07.1996 bis 31.10.1996 / Tabelle stipendiali dal 01.07.1996 al 31.10.1996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topLeftCell="B1" zoomScaleNormal="100" workbookViewId="0">
      <selection activeCell="C22" sqref="C22"/>
    </sheetView>
  </sheetViews>
  <sheetFormatPr baseColWidth="10" defaultColWidth="9.140625" defaultRowHeight="12.75" x14ac:dyDescent="0.2"/>
  <cols>
    <col min="1" max="1" width="0" hidden="1"/>
    <col min="2" max="2" width="24.140625"/>
    <col min="3" max="11" width="14.42578125"/>
    <col min="12" max="256" width="11.28515625"/>
    <col min="257" max="1025" width="11.5703125"/>
  </cols>
  <sheetData>
    <row r="1" spans="1:256" x14ac:dyDescent="0.2">
      <c r="A1" s="1"/>
      <c r="B1" s="1"/>
      <c r="C1" s="2"/>
      <c r="D1" s="3"/>
      <c r="E1" s="2"/>
      <c r="F1" s="3"/>
      <c r="G1" s="2"/>
      <c r="H1" s="3"/>
      <c r="I1" s="2"/>
      <c r="J1" s="3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x14ac:dyDescent="0.25">
      <c r="A2" s="5"/>
      <c r="B2" s="64">
        <v>1936.27</v>
      </c>
      <c r="C2" s="9" t="s">
        <v>44</v>
      </c>
      <c r="D2" s="40" t="s">
        <v>45</v>
      </c>
      <c r="E2" s="9" t="s">
        <v>46</v>
      </c>
      <c r="F2" s="40" t="s">
        <v>47</v>
      </c>
      <c r="G2" s="9" t="s">
        <v>48</v>
      </c>
      <c r="H2" s="40" t="s">
        <v>49</v>
      </c>
      <c r="I2" s="9" t="s">
        <v>50</v>
      </c>
      <c r="J2" s="40" t="s">
        <v>51</v>
      </c>
      <c r="K2" s="9" t="s">
        <v>52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" x14ac:dyDescent="0.2">
      <c r="A3" s="12"/>
      <c r="B3" s="13" t="s">
        <v>10</v>
      </c>
      <c r="C3" s="14"/>
      <c r="D3" s="15"/>
      <c r="E3" s="14"/>
      <c r="F3" s="15"/>
      <c r="G3" s="14"/>
      <c r="H3" s="15"/>
      <c r="I3" s="14"/>
      <c r="J3" s="15"/>
      <c r="K3" s="1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15.75" x14ac:dyDescent="0.25">
      <c r="A4" s="17"/>
      <c r="B4" s="18" t="s">
        <v>11</v>
      </c>
      <c r="C4" s="47">
        <f>817019/B2</f>
        <v>421.95509923719317</v>
      </c>
      <c r="D4" s="48">
        <f>1005312/B2</f>
        <v>519.20031813744981</v>
      </c>
      <c r="E4" s="47">
        <f>1171962/B2</f>
        <v>605.26786037071281</v>
      </c>
      <c r="F4" s="48">
        <f>1179537/B2</f>
        <v>609.18002138131567</v>
      </c>
      <c r="G4" s="47">
        <f>1327790/B2</f>
        <v>685.74630604202923</v>
      </c>
      <c r="H4" s="48">
        <f>1481455/B2</f>
        <v>765.10765544061519</v>
      </c>
      <c r="I4" s="47">
        <f>1757401/B2</f>
        <v>907.62187091676265</v>
      </c>
      <c r="J4" s="48">
        <f>2146973/B2</f>
        <v>1108.819018008852</v>
      </c>
      <c r="K4" s="47">
        <f>2564681/B2</f>
        <v>1324.5471964137232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15" x14ac:dyDescent="0.2">
      <c r="A5" s="22">
        <v>1</v>
      </c>
      <c r="B5" s="23" t="s">
        <v>53</v>
      </c>
      <c r="C5" s="50">
        <f>($C$4*0.06*A5)+$C$4</f>
        <v>447.27240519142475</v>
      </c>
      <c r="D5" s="51">
        <f>($D$4*0.06*A5)+$D$4</f>
        <v>550.35233722569683</v>
      </c>
      <c r="E5" s="50">
        <f>($E$4*0.06*A5)+$E$4</f>
        <v>641.58393199295563</v>
      </c>
      <c r="F5" s="51">
        <f>($F$4*0.06*A5)+$F$4</f>
        <v>645.73082266419465</v>
      </c>
      <c r="G5" s="50">
        <f>($G$4*0.06*A5)+$G$4</f>
        <v>726.89108440455095</v>
      </c>
      <c r="H5" s="51">
        <f>($H$4*0.06*A5)+$H$4</f>
        <v>811.01411476705209</v>
      </c>
      <c r="I5" s="50">
        <f>($I$4*0.06*A5)+$I$4</f>
        <v>962.07918317176836</v>
      </c>
      <c r="J5" s="51">
        <f>($J$4*0.06*A5)+$J$4</f>
        <v>1175.3481590893832</v>
      </c>
      <c r="K5" s="50">
        <f>($K$4*0.06*A5)+$K$4</f>
        <v>1404.0200281985467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15" x14ac:dyDescent="0.2">
      <c r="A6" s="22">
        <v>2</v>
      </c>
      <c r="B6" s="23" t="s">
        <v>54</v>
      </c>
      <c r="C6" s="50">
        <f>($C$4*0.06*A6)+$C$4</f>
        <v>472.58971114565634</v>
      </c>
      <c r="D6" s="51">
        <f>($D$4*0.06*A6)+$D$4</f>
        <v>581.50435631394384</v>
      </c>
      <c r="E6" s="50">
        <f>($E$4*0.06*A6)+$E$4</f>
        <v>677.90000361519833</v>
      </c>
      <c r="F6" s="51">
        <f>($F$4*0.06*A6)+$F$4</f>
        <v>682.28162394707351</v>
      </c>
      <c r="G6" s="50">
        <f>($G$4*0.06*A6)+$G$4</f>
        <v>768.03586276707279</v>
      </c>
      <c r="H6" s="51">
        <f>($H$4*0.06*A6)+$H$4</f>
        <v>856.92057409348899</v>
      </c>
      <c r="I6" s="50">
        <f>($I$4*0.06*A6)+$I$4</f>
        <v>1016.5364954267742</v>
      </c>
      <c r="J6" s="51">
        <f>($J$4*0.06*A6)+$J$4</f>
        <v>1241.8773001699142</v>
      </c>
      <c r="K6" s="50">
        <f>($K$4*0.06*A6)+$K$4</f>
        <v>1483.49285998337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15" x14ac:dyDescent="0.2">
      <c r="A7" s="22">
        <v>3</v>
      </c>
      <c r="B7" s="23" t="s">
        <v>55</v>
      </c>
      <c r="C7" s="50">
        <f>($C$4*0.06*A7)+$C$4</f>
        <v>497.90701709988792</v>
      </c>
      <c r="D7" s="51">
        <f>($D$4*0.06*A7)+$D$4</f>
        <v>612.65637540219075</v>
      </c>
      <c r="E7" s="50">
        <f>($E$4*0.06*A7)+$E$4</f>
        <v>714.21607523744115</v>
      </c>
      <c r="F7" s="51">
        <f>($F$4*0.06*A7)+$F$4</f>
        <v>718.83242522995249</v>
      </c>
      <c r="G7" s="50">
        <f>($G$4*0.06*A7)+$G$4</f>
        <v>809.18064112959451</v>
      </c>
      <c r="H7" s="51">
        <f>($H$4*0.06*A7)+$H$4</f>
        <v>902.8270334199259</v>
      </c>
      <c r="I7" s="50">
        <f>($I$4*0.06*A7)+$I$4</f>
        <v>1070.9938076817798</v>
      </c>
      <c r="J7" s="51">
        <f>($J$4*0.06*A7)+$J$4</f>
        <v>1308.4064412504454</v>
      </c>
      <c r="K7" s="50">
        <f>($K$4*0.06*A7)+$K$4</f>
        <v>1562.9656917681934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ht="15" x14ac:dyDescent="0.2">
      <c r="A8" s="22"/>
      <c r="B8" s="22"/>
      <c r="C8" s="37"/>
      <c r="D8" s="38"/>
      <c r="E8" s="37"/>
      <c r="F8" s="38"/>
      <c r="G8" s="37"/>
      <c r="H8" s="38"/>
      <c r="I8" s="37"/>
      <c r="J8" s="38"/>
      <c r="K8" s="37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ht="15" x14ac:dyDescent="0.2">
      <c r="A9" s="12"/>
      <c r="B9" s="12" t="s">
        <v>56</v>
      </c>
      <c r="C9" s="44"/>
      <c r="D9" s="45"/>
      <c r="E9" s="44"/>
      <c r="F9" s="45"/>
      <c r="G9" s="44"/>
      <c r="H9" s="45"/>
      <c r="I9" s="44"/>
      <c r="J9" s="45"/>
      <c r="K9" s="44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spans="1:256" ht="15.75" x14ac:dyDescent="0.25">
      <c r="A10" s="17"/>
      <c r="B10" s="18" t="s">
        <v>11</v>
      </c>
      <c r="C10" s="47">
        <f>1045351/B2</f>
        <v>539.87873592009385</v>
      </c>
      <c r="D10" s="48">
        <f>1287751/B2</f>
        <v>665.06788825938531</v>
      </c>
      <c r="E10" s="47">
        <f>1521494/B2</f>
        <v>785.78607322325911</v>
      </c>
      <c r="F10" s="48">
        <f>1531233/B2</f>
        <v>790.81584696349171</v>
      </c>
      <c r="G10" s="47">
        <f>1722773/B2</f>
        <v>889.73800141509196</v>
      </c>
      <c r="H10" s="48">
        <f>1958680/B2</f>
        <v>1011.5737991085954</v>
      </c>
      <c r="I10" s="47">
        <f>2322280/B2</f>
        <v>1199.3575276175327</v>
      </c>
      <c r="J10" s="48">
        <f>2786520/B2</f>
        <v>1439.117478450836</v>
      </c>
      <c r="K10" s="47">
        <f>3419574/B2</f>
        <v>1766.0625842470317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ht="15" x14ac:dyDescent="0.2">
      <c r="A11" s="22">
        <v>1</v>
      </c>
      <c r="B11" s="23" t="s">
        <v>57</v>
      </c>
      <c r="C11" s="50">
        <f t="shared" ref="C11:C35" si="0">($C$10*0.03*A11)+$C$10</f>
        <v>556.07509799769662</v>
      </c>
      <c r="D11" s="51">
        <f t="shared" ref="D11:D35" si="1">($D$10*0.03*A11)+$D$10</f>
        <v>685.01992490716691</v>
      </c>
      <c r="E11" s="50">
        <f t="shared" ref="E11:E35" si="2">($E$10*0.03*A11)+$E$10</f>
        <v>809.35965541995688</v>
      </c>
      <c r="F11" s="51">
        <f t="shared" ref="F11:F35" si="3">($F$10*0.03*A11)+$F$10</f>
        <v>814.54032237239642</v>
      </c>
      <c r="G11" s="50">
        <f t="shared" ref="G11:G35" si="4">($G$10*0.03*A11)+$G$10</f>
        <v>916.43014145754466</v>
      </c>
      <c r="H11" s="51">
        <f t="shared" ref="H11:H35" si="5">($H$10*0.03*A11)+$H$10</f>
        <v>1041.9210130818533</v>
      </c>
      <c r="I11" s="50">
        <f t="shared" ref="I11:I35" si="6">($I$10*0.03*A11)+$I$10</f>
        <v>1235.3382534460586</v>
      </c>
      <c r="J11" s="51">
        <f t="shared" ref="J11:J35" si="7">($J$10*0.03*A11)+$J$10</f>
        <v>1482.2910028043611</v>
      </c>
      <c r="K11" s="50">
        <f t="shared" ref="K11:K35" si="8">($K$10*0.03*A11)+$K$10</f>
        <v>1819.0444617744427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" x14ac:dyDescent="0.2">
      <c r="A12" s="22">
        <v>2</v>
      </c>
      <c r="B12" s="23" t="s">
        <v>58</v>
      </c>
      <c r="C12" s="50">
        <f t="shared" si="0"/>
        <v>572.2714600752995</v>
      </c>
      <c r="D12" s="51">
        <f t="shared" si="1"/>
        <v>704.97196155494839</v>
      </c>
      <c r="E12" s="50">
        <f t="shared" si="2"/>
        <v>832.93323761665465</v>
      </c>
      <c r="F12" s="51">
        <f t="shared" si="3"/>
        <v>838.26479778130124</v>
      </c>
      <c r="G12" s="50">
        <f t="shared" si="4"/>
        <v>943.12228149999748</v>
      </c>
      <c r="H12" s="51">
        <f t="shared" si="5"/>
        <v>1072.2682270551111</v>
      </c>
      <c r="I12" s="50">
        <f t="shared" si="6"/>
        <v>1271.3189792745848</v>
      </c>
      <c r="J12" s="51">
        <f t="shared" si="7"/>
        <v>1525.4645271578861</v>
      </c>
      <c r="K12" s="50">
        <f t="shared" si="8"/>
        <v>1872.0263393018536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ht="15" x14ac:dyDescent="0.2">
      <c r="A13" s="22">
        <v>3</v>
      </c>
      <c r="B13" s="23" t="s">
        <v>59</v>
      </c>
      <c r="C13" s="50">
        <f t="shared" si="0"/>
        <v>588.46782215290227</v>
      </c>
      <c r="D13" s="51">
        <f t="shared" si="1"/>
        <v>724.92399820272999</v>
      </c>
      <c r="E13" s="50">
        <f t="shared" si="2"/>
        <v>856.50681981335242</v>
      </c>
      <c r="F13" s="51">
        <f t="shared" si="3"/>
        <v>861.98927319020595</v>
      </c>
      <c r="G13" s="50">
        <f t="shared" si="4"/>
        <v>969.81442154245019</v>
      </c>
      <c r="H13" s="51">
        <f t="shared" si="5"/>
        <v>1102.6154410283689</v>
      </c>
      <c r="I13" s="50">
        <f t="shared" si="6"/>
        <v>1307.2997051031107</v>
      </c>
      <c r="J13" s="51">
        <f t="shared" si="7"/>
        <v>1568.6380515114113</v>
      </c>
      <c r="K13" s="50">
        <f t="shared" si="8"/>
        <v>1925.0082168292647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15" x14ac:dyDescent="0.2">
      <c r="A14" s="22">
        <v>4</v>
      </c>
      <c r="B14" s="23" t="s">
        <v>60</v>
      </c>
      <c r="C14" s="50">
        <f t="shared" si="0"/>
        <v>604.66418423050504</v>
      </c>
      <c r="D14" s="51">
        <f t="shared" si="1"/>
        <v>744.87603485051159</v>
      </c>
      <c r="E14" s="50">
        <f t="shared" si="2"/>
        <v>880.08040201005019</v>
      </c>
      <c r="F14" s="51">
        <f t="shared" si="3"/>
        <v>885.71374859911066</v>
      </c>
      <c r="G14" s="50">
        <f t="shared" si="4"/>
        <v>996.50656158490301</v>
      </c>
      <c r="H14" s="51">
        <f t="shared" si="5"/>
        <v>1132.9626550016269</v>
      </c>
      <c r="I14" s="50">
        <f t="shared" si="6"/>
        <v>1343.2804309316366</v>
      </c>
      <c r="J14" s="51">
        <f t="shared" si="7"/>
        <v>1611.8115758649362</v>
      </c>
      <c r="K14" s="50">
        <f t="shared" si="8"/>
        <v>1977.9900943566756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5" x14ac:dyDescent="0.2">
      <c r="A15" s="22">
        <v>5</v>
      </c>
      <c r="B15" s="23" t="s">
        <v>61</v>
      </c>
      <c r="C15" s="50">
        <f t="shared" si="0"/>
        <v>620.86054630810793</v>
      </c>
      <c r="D15" s="51">
        <f t="shared" si="1"/>
        <v>764.82807149829307</v>
      </c>
      <c r="E15" s="50">
        <f t="shared" si="2"/>
        <v>903.65398420674796</v>
      </c>
      <c r="F15" s="51">
        <f t="shared" si="3"/>
        <v>909.43822400801548</v>
      </c>
      <c r="G15" s="50">
        <f t="shared" si="4"/>
        <v>1023.1987016273557</v>
      </c>
      <c r="H15" s="51">
        <f t="shared" si="5"/>
        <v>1163.3098689748847</v>
      </c>
      <c r="I15" s="50">
        <f t="shared" si="6"/>
        <v>1379.2611567601625</v>
      </c>
      <c r="J15" s="51">
        <f t="shared" si="7"/>
        <v>1654.9851002184614</v>
      </c>
      <c r="K15" s="50">
        <f t="shared" si="8"/>
        <v>2030.9719718840865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15" x14ac:dyDescent="0.2">
      <c r="A16" s="22">
        <v>6</v>
      </c>
      <c r="B16" s="23" t="s">
        <v>62</v>
      </c>
      <c r="C16" s="50">
        <f t="shared" si="0"/>
        <v>637.0569083857107</v>
      </c>
      <c r="D16" s="51">
        <f t="shared" si="1"/>
        <v>784.78010814607467</v>
      </c>
      <c r="E16" s="50">
        <f t="shared" si="2"/>
        <v>927.22756640344573</v>
      </c>
      <c r="F16" s="51">
        <f t="shared" si="3"/>
        <v>933.16269941692019</v>
      </c>
      <c r="G16" s="50">
        <f t="shared" si="4"/>
        <v>1049.8908416698084</v>
      </c>
      <c r="H16" s="51">
        <f t="shared" si="5"/>
        <v>1193.6570829481425</v>
      </c>
      <c r="I16" s="50">
        <f t="shared" si="6"/>
        <v>1415.2418825886884</v>
      </c>
      <c r="J16" s="51">
        <f t="shared" si="7"/>
        <v>1698.1586245719864</v>
      </c>
      <c r="K16" s="50">
        <f t="shared" si="8"/>
        <v>2083.9538494114977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5" x14ac:dyDescent="0.2">
      <c r="A17" s="22">
        <v>7</v>
      </c>
      <c r="B17" s="23" t="s">
        <v>63</v>
      </c>
      <c r="C17" s="50">
        <f t="shared" si="0"/>
        <v>653.25327046331358</v>
      </c>
      <c r="D17" s="51">
        <f t="shared" si="1"/>
        <v>804.73214479385615</v>
      </c>
      <c r="E17" s="50">
        <f t="shared" si="2"/>
        <v>950.80114860014351</v>
      </c>
      <c r="F17" s="51">
        <f t="shared" si="3"/>
        <v>956.88717482582501</v>
      </c>
      <c r="G17" s="50">
        <f t="shared" si="4"/>
        <v>1076.5829817122612</v>
      </c>
      <c r="H17" s="51">
        <f t="shared" si="5"/>
        <v>1224.0042969214005</v>
      </c>
      <c r="I17" s="50">
        <f t="shared" si="6"/>
        <v>1451.2226084172146</v>
      </c>
      <c r="J17" s="51">
        <f t="shared" si="7"/>
        <v>1741.3321489255115</v>
      </c>
      <c r="K17" s="50">
        <f t="shared" si="8"/>
        <v>2136.9357269389084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5" x14ac:dyDescent="0.2">
      <c r="A18" s="22">
        <v>8</v>
      </c>
      <c r="B18" s="23" t="s">
        <v>64</v>
      </c>
      <c r="C18" s="50">
        <f t="shared" si="0"/>
        <v>669.44963254091635</v>
      </c>
      <c r="D18" s="51">
        <f t="shared" si="1"/>
        <v>824.68418144163775</v>
      </c>
      <c r="E18" s="50">
        <f t="shared" si="2"/>
        <v>974.37473079684128</v>
      </c>
      <c r="F18" s="51">
        <f t="shared" si="3"/>
        <v>980.61165023472972</v>
      </c>
      <c r="G18" s="50">
        <f t="shared" si="4"/>
        <v>1103.2751217547141</v>
      </c>
      <c r="H18" s="51">
        <f t="shared" si="5"/>
        <v>1254.3515108946583</v>
      </c>
      <c r="I18" s="50">
        <f t="shared" si="6"/>
        <v>1487.2033342457405</v>
      </c>
      <c r="J18" s="51">
        <f t="shared" si="7"/>
        <v>1784.5056732790365</v>
      </c>
      <c r="K18" s="50">
        <f t="shared" si="8"/>
        <v>2189.9176044663195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15" x14ac:dyDescent="0.2">
      <c r="A19" s="22">
        <v>9</v>
      </c>
      <c r="B19" s="23" t="s">
        <v>65</v>
      </c>
      <c r="C19" s="50">
        <f t="shared" si="0"/>
        <v>685.64599461851913</v>
      </c>
      <c r="D19" s="51">
        <f t="shared" si="1"/>
        <v>844.63621808941934</v>
      </c>
      <c r="E19" s="50">
        <f t="shared" si="2"/>
        <v>997.94831299353905</v>
      </c>
      <c r="F19" s="51">
        <f t="shared" si="3"/>
        <v>1004.3361256436344</v>
      </c>
      <c r="G19" s="50">
        <f t="shared" si="4"/>
        <v>1129.9672617971669</v>
      </c>
      <c r="H19" s="51">
        <f t="shared" si="5"/>
        <v>1284.6987248679161</v>
      </c>
      <c r="I19" s="50">
        <f t="shared" si="6"/>
        <v>1523.1840600742664</v>
      </c>
      <c r="J19" s="51">
        <f t="shared" si="7"/>
        <v>1827.6791976325617</v>
      </c>
      <c r="K19" s="50">
        <f t="shared" si="8"/>
        <v>2242.8994819937302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15" x14ac:dyDescent="0.2">
      <c r="A20" s="22">
        <v>10</v>
      </c>
      <c r="B20" s="23" t="s">
        <v>66</v>
      </c>
      <c r="C20" s="50">
        <f t="shared" si="0"/>
        <v>701.84235669612201</v>
      </c>
      <c r="D20" s="51">
        <f t="shared" si="1"/>
        <v>864.58825473720094</v>
      </c>
      <c r="E20" s="50">
        <f t="shared" si="2"/>
        <v>1021.5218951902368</v>
      </c>
      <c r="F20" s="51">
        <f t="shared" si="3"/>
        <v>1028.0606010525391</v>
      </c>
      <c r="G20" s="50">
        <f t="shared" si="4"/>
        <v>1156.6594018396195</v>
      </c>
      <c r="H20" s="51">
        <f t="shared" si="5"/>
        <v>1315.0459388411741</v>
      </c>
      <c r="I20" s="50">
        <f t="shared" si="6"/>
        <v>1559.1647859027926</v>
      </c>
      <c r="J20" s="51">
        <f t="shared" si="7"/>
        <v>1870.8527219860866</v>
      </c>
      <c r="K20" s="50">
        <f t="shared" si="8"/>
        <v>2295.8813595211413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15" x14ac:dyDescent="0.2">
      <c r="A21" s="22">
        <v>11</v>
      </c>
      <c r="B21" s="23" t="s">
        <v>67</v>
      </c>
      <c r="C21" s="50">
        <f t="shared" si="0"/>
        <v>718.03871877372478</v>
      </c>
      <c r="D21" s="51">
        <f t="shared" si="1"/>
        <v>884.54029138498242</v>
      </c>
      <c r="E21" s="50">
        <f t="shared" si="2"/>
        <v>1045.0954773869346</v>
      </c>
      <c r="F21" s="51">
        <f t="shared" si="3"/>
        <v>1051.7850764614441</v>
      </c>
      <c r="G21" s="50">
        <f t="shared" si="4"/>
        <v>1183.3515418820723</v>
      </c>
      <c r="H21" s="51">
        <f t="shared" si="5"/>
        <v>1345.3931528144319</v>
      </c>
      <c r="I21" s="50">
        <f t="shared" si="6"/>
        <v>1595.1455117313185</v>
      </c>
      <c r="J21" s="51">
        <f t="shared" si="7"/>
        <v>1914.0262463396118</v>
      </c>
      <c r="K21" s="50">
        <f t="shared" si="8"/>
        <v>2348.863237048552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15" x14ac:dyDescent="0.2">
      <c r="A22" s="22">
        <v>12</v>
      </c>
      <c r="B22" s="23" t="s">
        <v>68</v>
      </c>
      <c r="C22" s="50">
        <f t="shared" si="0"/>
        <v>734.23508085132767</v>
      </c>
      <c r="D22" s="51">
        <f t="shared" si="1"/>
        <v>904.49232803276402</v>
      </c>
      <c r="E22" s="50">
        <f t="shared" si="2"/>
        <v>1068.6690595836324</v>
      </c>
      <c r="F22" s="51">
        <f t="shared" si="3"/>
        <v>1075.5095518703488</v>
      </c>
      <c r="G22" s="50">
        <f t="shared" si="4"/>
        <v>1210.0436819245251</v>
      </c>
      <c r="H22" s="51">
        <f t="shared" si="5"/>
        <v>1375.7403667876897</v>
      </c>
      <c r="I22" s="50">
        <f t="shared" si="6"/>
        <v>1631.1262375598444</v>
      </c>
      <c r="J22" s="51">
        <f t="shared" si="7"/>
        <v>1957.199770693137</v>
      </c>
      <c r="K22" s="50">
        <f t="shared" si="8"/>
        <v>2401.8451145759632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15" x14ac:dyDescent="0.2">
      <c r="A23" s="22">
        <v>13</v>
      </c>
      <c r="B23" s="23" t="s">
        <v>69</v>
      </c>
      <c r="C23" s="50">
        <f t="shared" si="0"/>
        <v>750.43144292893044</v>
      </c>
      <c r="D23" s="51">
        <f t="shared" si="1"/>
        <v>924.4443646805455</v>
      </c>
      <c r="E23" s="50">
        <f t="shared" si="2"/>
        <v>1092.2426417803301</v>
      </c>
      <c r="F23" s="51">
        <f t="shared" si="3"/>
        <v>1099.2340272792535</v>
      </c>
      <c r="G23" s="50">
        <f t="shared" si="4"/>
        <v>1236.7358219669777</v>
      </c>
      <c r="H23" s="51">
        <f t="shared" si="5"/>
        <v>1406.0875807609475</v>
      </c>
      <c r="I23" s="50">
        <f t="shared" si="6"/>
        <v>1667.1069633883703</v>
      </c>
      <c r="J23" s="51">
        <f t="shared" si="7"/>
        <v>2000.373295046662</v>
      </c>
      <c r="K23" s="50">
        <f t="shared" si="8"/>
        <v>2454.8269921033743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15" x14ac:dyDescent="0.2">
      <c r="A24" s="22">
        <v>14</v>
      </c>
      <c r="B24" s="23" t="s">
        <v>70</v>
      </c>
      <c r="C24" s="50">
        <f t="shared" si="0"/>
        <v>766.62780500653321</v>
      </c>
      <c r="D24" s="51">
        <f t="shared" si="1"/>
        <v>944.3964013283271</v>
      </c>
      <c r="E24" s="50">
        <f t="shared" si="2"/>
        <v>1115.8162239770279</v>
      </c>
      <c r="F24" s="51">
        <f t="shared" si="3"/>
        <v>1122.9585026881582</v>
      </c>
      <c r="G24" s="50">
        <f t="shared" si="4"/>
        <v>1263.4279620094305</v>
      </c>
      <c r="H24" s="51">
        <f t="shared" si="5"/>
        <v>1436.4347947342055</v>
      </c>
      <c r="I24" s="50">
        <f t="shared" si="6"/>
        <v>1703.0876892168963</v>
      </c>
      <c r="J24" s="51">
        <f t="shared" si="7"/>
        <v>2043.5468194001869</v>
      </c>
      <c r="K24" s="50">
        <f t="shared" si="8"/>
        <v>2507.808869630785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5" x14ac:dyDescent="0.2">
      <c r="A25" s="22">
        <v>15</v>
      </c>
      <c r="B25" s="23" t="s">
        <v>71</v>
      </c>
      <c r="C25" s="50">
        <f t="shared" si="0"/>
        <v>782.82416708413598</v>
      </c>
      <c r="D25" s="51">
        <f t="shared" si="1"/>
        <v>964.3484379761087</v>
      </c>
      <c r="E25" s="50">
        <f t="shared" si="2"/>
        <v>1139.3898061737257</v>
      </c>
      <c r="F25" s="51">
        <f t="shared" si="3"/>
        <v>1146.6829780970629</v>
      </c>
      <c r="G25" s="50">
        <f t="shared" si="4"/>
        <v>1290.1201020518834</v>
      </c>
      <c r="H25" s="51">
        <f t="shared" si="5"/>
        <v>1466.7820087074633</v>
      </c>
      <c r="I25" s="50">
        <f t="shared" si="6"/>
        <v>1739.0684150454224</v>
      </c>
      <c r="J25" s="51">
        <f t="shared" si="7"/>
        <v>2086.7203437537119</v>
      </c>
      <c r="K25" s="50">
        <f t="shared" si="8"/>
        <v>2560.7907471581962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15" x14ac:dyDescent="0.2">
      <c r="A26" s="22">
        <v>16</v>
      </c>
      <c r="B26" s="23" t="s">
        <v>72</v>
      </c>
      <c r="C26" s="50">
        <f t="shared" si="0"/>
        <v>799.02052916173886</v>
      </c>
      <c r="D26" s="51">
        <f t="shared" si="1"/>
        <v>984.3004746238903</v>
      </c>
      <c r="E26" s="50">
        <f t="shared" si="2"/>
        <v>1162.9633883704234</v>
      </c>
      <c r="F26" s="51">
        <f t="shared" si="3"/>
        <v>1170.4074535059676</v>
      </c>
      <c r="G26" s="50">
        <f t="shared" si="4"/>
        <v>1316.8122420943359</v>
      </c>
      <c r="H26" s="51">
        <f t="shared" si="5"/>
        <v>1497.1292226807211</v>
      </c>
      <c r="I26" s="50">
        <f t="shared" si="6"/>
        <v>1775.0491408739483</v>
      </c>
      <c r="J26" s="51">
        <f t="shared" si="7"/>
        <v>2129.8938681072373</v>
      </c>
      <c r="K26" s="50">
        <f t="shared" si="8"/>
        <v>2613.7726246856068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5" x14ac:dyDescent="0.2">
      <c r="A27" s="22">
        <v>17</v>
      </c>
      <c r="B27" s="23" t="s">
        <v>73</v>
      </c>
      <c r="C27" s="50">
        <f t="shared" si="0"/>
        <v>815.21689123934175</v>
      </c>
      <c r="D27" s="51">
        <f t="shared" si="1"/>
        <v>1004.2525112716718</v>
      </c>
      <c r="E27" s="50">
        <f t="shared" si="2"/>
        <v>1186.5369705671212</v>
      </c>
      <c r="F27" s="51">
        <f t="shared" si="3"/>
        <v>1194.1319289148726</v>
      </c>
      <c r="G27" s="50">
        <f t="shared" si="4"/>
        <v>1343.5043821367888</v>
      </c>
      <c r="H27" s="51">
        <f t="shared" si="5"/>
        <v>1527.4764366539789</v>
      </c>
      <c r="I27" s="50">
        <f t="shared" si="6"/>
        <v>1811.0298667024742</v>
      </c>
      <c r="J27" s="51">
        <f t="shared" si="7"/>
        <v>2173.0673924607622</v>
      </c>
      <c r="K27" s="50">
        <f t="shared" si="8"/>
        <v>2666.754502213018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15" x14ac:dyDescent="0.2">
      <c r="A28" s="22">
        <v>18</v>
      </c>
      <c r="B28" s="23" t="s">
        <v>74</v>
      </c>
      <c r="C28" s="50">
        <f t="shared" si="0"/>
        <v>831.41325331694452</v>
      </c>
      <c r="D28" s="51">
        <f t="shared" si="1"/>
        <v>1024.2045479194535</v>
      </c>
      <c r="E28" s="50">
        <f t="shared" si="2"/>
        <v>1210.110552763819</v>
      </c>
      <c r="F28" s="51">
        <f t="shared" si="3"/>
        <v>1217.8564043237773</v>
      </c>
      <c r="G28" s="50">
        <f t="shared" si="4"/>
        <v>1370.1965221792416</v>
      </c>
      <c r="H28" s="51">
        <f t="shared" si="5"/>
        <v>1557.8236506272369</v>
      </c>
      <c r="I28" s="50">
        <f t="shared" si="6"/>
        <v>1847.0105925310004</v>
      </c>
      <c r="J28" s="51">
        <f t="shared" si="7"/>
        <v>2216.2409168142872</v>
      </c>
      <c r="K28" s="50">
        <f t="shared" si="8"/>
        <v>2719.7363797404287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5" x14ac:dyDescent="0.2">
      <c r="A29" s="22">
        <v>19</v>
      </c>
      <c r="B29" s="23" t="s">
        <v>75</v>
      </c>
      <c r="C29" s="50">
        <f t="shared" si="0"/>
        <v>847.60961539454729</v>
      </c>
      <c r="D29" s="51">
        <f t="shared" si="1"/>
        <v>1044.1565845672349</v>
      </c>
      <c r="E29" s="50">
        <f t="shared" si="2"/>
        <v>1233.6841349605168</v>
      </c>
      <c r="F29" s="51">
        <f t="shared" si="3"/>
        <v>1241.580879732682</v>
      </c>
      <c r="G29" s="50">
        <f t="shared" si="4"/>
        <v>1396.8886622216944</v>
      </c>
      <c r="H29" s="51">
        <f t="shared" si="5"/>
        <v>1588.1708646004947</v>
      </c>
      <c r="I29" s="50">
        <f t="shared" si="6"/>
        <v>1882.9913183595263</v>
      </c>
      <c r="J29" s="51">
        <f t="shared" si="7"/>
        <v>2259.4144411678126</v>
      </c>
      <c r="K29" s="50">
        <f t="shared" si="8"/>
        <v>2772.7182572678398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15" x14ac:dyDescent="0.2">
      <c r="A30" s="22">
        <v>20</v>
      </c>
      <c r="B30" s="23" t="s">
        <v>76</v>
      </c>
      <c r="C30" s="50">
        <f t="shared" si="0"/>
        <v>863.80597747215006</v>
      </c>
      <c r="D30" s="51">
        <f t="shared" si="1"/>
        <v>1064.1086212150165</v>
      </c>
      <c r="E30" s="50">
        <f t="shared" si="2"/>
        <v>1257.2577171572145</v>
      </c>
      <c r="F30" s="51">
        <f t="shared" si="3"/>
        <v>1265.3053551415867</v>
      </c>
      <c r="G30" s="50">
        <f t="shared" si="4"/>
        <v>1423.5808022641472</v>
      </c>
      <c r="H30" s="51">
        <f t="shared" si="5"/>
        <v>1618.5180785737525</v>
      </c>
      <c r="I30" s="50">
        <f t="shared" si="6"/>
        <v>1918.9720441880522</v>
      </c>
      <c r="J30" s="51">
        <f t="shared" si="7"/>
        <v>2302.5879655213375</v>
      </c>
      <c r="K30" s="50">
        <f t="shared" si="8"/>
        <v>2825.700134795251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15" x14ac:dyDescent="0.2">
      <c r="A31" s="22">
        <v>21</v>
      </c>
      <c r="B31" s="23" t="s">
        <v>77</v>
      </c>
      <c r="C31" s="50">
        <f t="shared" si="0"/>
        <v>880.00233954975295</v>
      </c>
      <c r="D31" s="51">
        <f t="shared" si="1"/>
        <v>1084.0606578627981</v>
      </c>
      <c r="E31" s="50">
        <f t="shared" si="2"/>
        <v>1280.8312993539123</v>
      </c>
      <c r="F31" s="51">
        <f t="shared" si="3"/>
        <v>1289.0298305504916</v>
      </c>
      <c r="G31" s="50">
        <f t="shared" si="4"/>
        <v>1450.2729423065998</v>
      </c>
      <c r="H31" s="51">
        <f t="shared" si="5"/>
        <v>1648.8652925470105</v>
      </c>
      <c r="I31" s="50">
        <f t="shared" si="6"/>
        <v>1954.9527700165781</v>
      </c>
      <c r="J31" s="51">
        <f t="shared" si="7"/>
        <v>2345.7614898748625</v>
      </c>
      <c r="K31" s="50">
        <f t="shared" si="8"/>
        <v>2878.6820123226616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15" x14ac:dyDescent="0.2">
      <c r="A32" s="22">
        <v>22</v>
      </c>
      <c r="B32" s="23" t="s">
        <v>78</v>
      </c>
      <c r="C32" s="50">
        <f t="shared" si="0"/>
        <v>896.19870162735572</v>
      </c>
      <c r="D32" s="51">
        <f t="shared" si="1"/>
        <v>1104.0126945105796</v>
      </c>
      <c r="E32" s="50">
        <f t="shared" si="2"/>
        <v>1304.4048815506101</v>
      </c>
      <c r="F32" s="51">
        <f t="shared" si="3"/>
        <v>1312.7543059593963</v>
      </c>
      <c r="G32" s="50">
        <f t="shared" si="4"/>
        <v>1476.9650823490526</v>
      </c>
      <c r="H32" s="51">
        <f t="shared" si="5"/>
        <v>1679.2125065202683</v>
      </c>
      <c r="I32" s="50">
        <f t="shared" si="6"/>
        <v>1990.9334958451041</v>
      </c>
      <c r="J32" s="51">
        <f t="shared" si="7"/>
        <v>2388.9350142283874</v>
      </c>
      <c r="K32" s="50">
        <f t="shared" si="8"/>
        <v>2931.6638898500723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ht="15" x14ac:dyDescent="0.2">
      <c r="A33" s="22">
        <v>23</v>
      </c>
      <c r="B33" s="23" t="s">
        <v>79</v>
      </c>
      <c r="C33" s="50">
        <f t="shared" si="0"/>
        <v>912.3950637049586</v>
      </c>
      <c r="D33" s="51">
        <f t="shared" si="1"/>
        <v>1123.9647311583612</v>
      </c>
      <c r="E33" s="50">
        <f t="shared" si="2"/>
        <v>1327.9784637473078</v>
      </c>
      <c r="F33" s="51">
        <f t="shared" si="3"/>
        <v>1336.478781368301</v>
      </c>
      <c r="G33" s="50">
        <f t="shared" si="4"/>
        <v>1503.6572223915055</v>
      </c>
      <c r="H33" s="51">
        <f t="shared" si="5"/>
        <v>1709.5597204935261</v>
      </c>
      <c r="I33" s="50">
        <f t="shared" si="6"/>
        <v>2026.9142216736302</v>
      </c>
      <c r="J33" s="51">
        <f t="shared" si="7"/>
        <v>2432.1085385819124</v>
      </c>
      <c r="K33" s="50">
        <f t="shared" si="8"/>
        <v>2984.6457673774839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ht="15" x14ac:dyDescent="0.2">
      <c r="A34" s="22">
        <v>24</v>
      </c>
      <c r="B34" s="23" t="s">
        <v>80</v>
      </c>
      <c r="C34" s="50">
        <f t="shared" si="0"/>
        <v>928.59142578256137</v>
      </c>
      <c r="D34" s="51">
        <f t="shared" si="1"/>
        <v>1143.9167678061426</v>
      </c>
      <c r="E34" s="50">
        <f t="shared" si="2"/>
        <v>1351.5520459440056</v>
      </c>
      <c r="F34" s="51">
        <f t="shared" si="3"/>
        <v>1360.2032567772058</v>
      </c>
      <c r="G34" s="50">
        <f t="shared" si="4"/>
        <v>1530.349362433958</v>
      </c>
      <c r="H34" s="51">
        <f t="shared" si="5"/>
        <v>1739.9069344667842</v>
      </c>
      <c r="I34" s="50">
        <f t="shared" si="6"/>
        <v>2062.8949475021564</v>
      </c>
      <c r="J34" s="51">
        <f t="shared" si="7"/>
        <v>2475.2820629354378</v>
      </c>
      <c r="K34" s="50">
        <f t="shared" si="8"/>
        <v>3037.6276449048946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ht="15" x14ac:dyDescent="0.2">
      <c r="A35" s="22">
        <v>25</v>
      </c>
      <c r="B35" s="23" t="s">
        <v>81</v>
      </c>
      <c r="C35" s="50">
        <f t="shared" si="0"/>
        <v>944.78778786016414</v>
      </c>
      <c r="D35" s="51">
        <f t="shared" si="1"/>
        <v>1163.8688044539242</v>
      </c>
      <c r="E35" s="50">
        <f t="shared" si="2"/>
        <v>1375.1256281407034</v>
      </c>
      <c r="F35" s="51">
        <f t="shared" si="3"/>
        <v>1383.9277321861105</v>
      </c>
      <c r="G35" s="50">
        <f t="shared" si="4"/>
        <v>1557.0415024764109</v>
      </c>
      <c r="H35" s="51">
        <f t="shared" si="5"/>
        <v>1770.2541484400419</v>
      </c>
      <c r="I35" s="50">
        <f t="shared" si="6"/>
        <v>2098.8756733306818</v>
      </c>
      <c r="J35" s="51">
        <f t="shared" si="7"/>
        <v>2518.4555872889628</v>
      </c>
      <c r="K35" s="50">
        <f t="shared" si="8"/>
        <v>3090.6095224323053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</sheetData>
  <printOptions horizontalCentered="1" verticalCentered="1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headerFooter>
    <oddHeader>&amp;C&amp;"Comic Sans MS,Fett"Gehaltstabellen von 01.07.1996 bis 31.10.1996 / Tabelle stipendiali dal 01.07.1996 al 31.10.1996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5"/>
    <col min="2" max="10" width="11.5703125"/>
    <col min="11" max="256" width="11.28515625"/>
    <col min="257" max="1025" width="11.5703125"/>
  </cols>
  <sheetData>
    <row r="1" spans="1:256" x14ac:dyDescent="0.2">
      <c r="A1" s="1"/>
      <c r="B1" s="2"/>
      <c r="C1" s="3"/>
      <c r="D1" s="2"/>
      <c r="E1" s="3"/>
      <c r="F1" s="2"/>
      <c r="G1" s="3"/>
      <c r="H1" s="2"/>
      <c r="I1" s="3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x14ac:dyDescent="0.25">
      <c r="A2" s="39"/>
      <c r="B2" s="9" t="s">
        <v>44</v>
      </c>
      <c r="C2" s="40" t="s">
        <v>45</v>
      </c>
      <c r="D2" s="9" t="s">
        <v>46</v>
      </c>
      <c r="E2" s="40" t="s">
        <v>47</v>
      </c>
      <c r="F2" s="9" t="s">
        <v>48</v>
      </c>
      <c r="G2" s="40" t="s">
        <v>49</v>
      </c>
      <c r="H2" s="9" t="s">
        <v>50</v>
      </c>
      <c r="I2" s="40" t="s">
        <v>51</v>
      </c>
      <c r="J2" s="9" t="s">
        <v>52</v>
      </c>
      <c r="K2" s="70"/>
      <c r="L2" s="7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" x14ac:dyDescent="0.2">
      <c r="A3" s="13" t="s">
        <v>10</v>
      </c>
      <c r="B3" s="14"/>
      <c r="C3" s="15"/>
      <c r="D3" s="14"/>
      <c r="E3" s="15"/>
      <c r="F3" s="14"/>
      <c r="G3" s="15"/>
      <c r="H3" s="14"/>
      <c r="I3" s="15"/>
      <c r="J3" s="14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15.75" x14ac:dyDescent="0.25">
      <c r="A4" s="18" t="s">
        <v>11</v>
      </c>
      <c r="B4" s="19">
        <v>845614</v>
      </c>
      <c r="C4" s="20">
        <v>1040497</v>
      </c>
      <c r="D4" s="19">
        <v>1212980</v>
      </c>
      <c r="E4" s="20">
        <v>1220821</v>
      </c>
      <c r="F4" s="19">
        <v>1374263</v>
      </c>
      <c r="G4" s="20">
        <v>1533306</v>
      </c>
      <c r="H4" s="19">
        <v>1818911</v>
      </c>
      <c r="I4" s="20">
        <v>2222117</v>
      </c>
      <c r="J4" s="19">
        <v>2654445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15" x14ac:dyDescent="0.2">
      <c r="A5" s="23" t="s">
        <v>53</v>
      </c>
      <c r="B5" s="24">
        <f t="shared" ref="B5:J5" si="0">(B4*0.06*1)+B4</f>
        <v>896350.84</v>
      </c>
      <c r="C5" s="25">
        <f t="shared" si="0"/>
        <v>1102926.82</v>
      </c>
      <c r="D5" s="24">
        <f t="shared" si="0"/>
        <v>1285758.8</v>
      </c>
      <c r="E5" s="25">
        <f t="shared" si="0"/>
        <v>1294070.26</v>
      </c>
      <c r="F5" s="24">
        <f t="shared" si="0"/>
        <v>1456718.78</v>
      </c>
      <c r="G5" s="25">
        <f t="shared" si="0"/>
        <v>1625304.36</v>
      </c>
      <c r="H5" s="24">
        <f t="shared" si="0"/>
        <v>1928045.66</v>
      </c>
      <c r="I5" s="25">
        <f t="shared" si="0"/>
        <v>2355444.02</v>
      </c>
      <c r="J5" s="24">
        <f t="shared" si="0"/>
        <v>2813711.7</v>
      </c>
      <c r="K5" s="7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15" x14ac:dyDescent="0.2">
      <c r="A6" s="23" t="s">
        <v>54</v>
      </c>
      <c r="B6" s="24">
        <f t="shared" ref="B6:J6" si="1">(B4*0.06*2)+B4</f>
        <v>947087.67999999993</v>
      </c>
      <c r="C6" s="25">
        <f t="shared" si="1"/>
        <v>1165356.6399999999</v>
      </c>
      <c r="D6" s="24">
        <f t="shared" si="1"/>
        <v>1358537.6</v>
      </c>
      <c r="E6" s="25">
        <f t="shared" si="1"/>
        <v>1367319.52</v>
      </c>
      <c r="F6" s="24">
        <f t="shared" si="1"/>
        <v>1539174.56</v>
      </c>
      <c r="G6" s="25">
        <f t="shared" si="1"/>
        <v>1717302.72</v>
      </c>
      <c r="H6" s="24">
        <f t="shared" si="1"/>
        <v>2037180.32</v>
      </c>
      <c r="I6" s="25">
        <f t="shared" si="1"/>
        <v>2488771.04</v>
      </c>
      <c r="J6" s="24">
        <f t="shared" si="1"/>
        <v>2972978.4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15" x14ac:dyDescent="0.2">
      <c r="A7" s="23" t="s">
        <v>55</v>
      </c>
      <c r="B7" s="24">
        <f t="shared" ref="B7:J7" si="2">(B4*0.06*3)+B4</f>
        <v>997824.52</v>
      </c>
      <c r="C7" s="25">
        <f t="shared" si="2"/>
        <v>1227786.46</v>
      </c>
      <c r="D7" s="24">
        <f t="shared" si="2"/>
        <v>1431316.4</v>
      </c>
      <c r="E7" s="25">
        <f t="shared" si="2"/>
        <v>1440568.78</v>
      </c>
      <c r="F7" s="24">
        <f t="shared" si="2"/>
        <v>1621630.34</v>
      </c>
      <c r="G7" s="25">
        <f t="shared" si="2"/>
        <v>1809301.08</v>
      </c>
      <c r="H7" s="24">
        <f t="shared" si="2"/>
        <v>2146314.98</v>
      </c>
      <c r="I7" s="25">
        <f t="shared" si="2"/>
        <v>2622098.06</v>
      </c>
      <c r="J7" s="24">
        <f t="shared" si="2"/>
        <v>3132245.1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ht="15" x14ac:dyDescent="0.2">
      <c r="A8" s="22"/>
      <c r="B8" s="37"/>
      <c r="C8" s="38"/>
      <c r="D8" s="37"/>
      <c r="E8" s="38"/>
      <c r="F8" s="37"/>
      <c r="G8" s="38"/>
      <c r="H8" s="37"/>
      <c r="I8" s="38"/>
      <c r="J8" s="37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ht="15" x14ac:dyDescent="0.2">
      <c r="A9" s="12" t="s">
        <v>56</v>
      </c>
      <c r="B9" s="44"/>
      <c r="C9" s="45"/>
      <c r="D9" s="44"/>
      <c r="E9" s="45"/>
      <c r="F9" s="44"/>
      <c r="G9" s="45"/>
      <c r="H9" s="44"/>
      <c r="I9" s="45"/>
      <c r="J9" s="44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spans="1:256" ht="15.75" x14ac:dyDescent="0.25">
      <c r="A10" s="18" t="s">
        <v>11</v>
      </c>
      <c r="B10" s="19">
        <v>1081938</v>
      </c>
      <c r="C10" s="20">
        <v>1332822</v>
      </c>
      <c r="D10" s="19">
        <v>1574746</v>
      </c>
      <c r="E10" s="20">
        <v>1584827</v>
      </c>
      <c r="F10" s="19">
        <v>1783070</v>
      </c>
      <c r="G10" s="20">
        <v>2027234</v>
      </c>
      <c r="H10" s="19">
        <v>2403560</v>
      </c>
      <c r="I10" s="20">
        <v>2884048</v>
      </c>
      <c r="J10" s="19">
        <v>3539259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ht="15" x14ac:dyDescent="0.2">
      <c r="A11" s="23" t="s">
        <v>57</v>
      </c>
      <c r="B11" s="24">
        <f t="shared" ref="B11:J11" si="3">(B10*0.03*1)+B10</f>
        <v>1114396.1399999999</v>
      </c>
      <c r="C11" s="25">
        <f t="shared" si="3"/>
        <v>1372806.66</v>
      </c>
      <c r="D11" s="24">
        <f t="shared" si="3"/>
        <v>1621988.38</v>
      </c>
      <c r="E11" s="25">
        <f t="shared" si="3"/>
        <v>1632371.81</v>
      </c>
      <c r="F11" s="24">
        <f t="shared" si="3"/>
        <v>1836562.1</v>
      </c>
      <c r="G11" s="25">
        <f t="shared" si="3"/>
        <v>2088051.02</v>
      </c>
      <c r="H11" s="24">
        <f t="shared" si="3"/>
        <v>2475666.7999999998</v>
      </c>
      <c r="I11" s="25">
        <f t="shared" si="3"/>
        <v>2970569.44</v>
      </c>
      <c r="J11" s="24">
        <f t="shared" si="3"/>
        <v>3645436.77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" x14ac:dyDescent="0.2">
      <c r="A12" s="23" t="s">
        <v>58</v>
      </c>
      <c r="B12" s="24">
        <f t="shared" ref="B12:J12" si="4">(B10*0.03*2)+B10</f>
        <v>1146854.28</v>
      </c>
      <c r="C12" s="25">
        <f t="shared" si="4"/>
        <v>1412791.32</v>
      </c>
      <c r="D12" s="24">
        <f t="shared" si="4"/>
        <v>1669230.76</v>
      </c>
      <c r="E12" s="25">
        <f t="shared" si="4"/>
        <v>1679916.62</v>
      </c>
      <c r="F12" s="24">
        <f t="shared" si="4"/>
        <v>1890054.2</v>
      </c>
      <c r="G12" s="25">
        <f t="shared" si="4"/>
        <v>2148868.04</v>
      </c>
      <c r="H12" s="24">
        <f t="shared" si="4"/>
        <v>2547773.6</v>
      </c>
      <c r="I12" s="25">
        <f t="shared" si="4"/>
        <v>3057090.88</v>
      </c>
      <c r="J12" s="24">
        <f t="shared" si="4"/>
        <v>3751614.54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ht="15" x14ac:dyDescent="0.2">
      <c r="A13" s="23" t="s">
        <v>59</v>
      </c>
      <c r="B13" s="24">
        <f t="shared" ref="B13:J13" si="5">(B10*0.03*3)+B10</f>
        <v>1179312.42</v>
      </c>
      <c r="C13" s="25">
        <f t="shared" si="5"/>
        <v>1452775.98</v>
      </c>
      <c r="D13" s="24">
        <f t="shared" si="5"/>
        <v>1716473.14</v>
      </c>
      <c r="E13" s="25">
        <f t="shared" si="5"/>
        <v>1727461.43</v>
      </c>
      <c r="F13" s="24">
        <f t="shared" si="5"/>
        <v>1943546.3</v>
      </c>
      <c r="G13" s="25">
        <f t="shared" si="5"/>
        <v>2209685.06</v>
      </c>
      <c r="H13" s="24">
        <f t="shared" si="5"/>
        <v>2619880.4</v>
      </c>
      <c r="I13" s="25">
        <f t="shared" si="5"/>
        <v>3143612.32</v>
      </c>
      <c r="J13" s="24">
        <f t="shared" si="5"/>
        <v>3857792.31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15" x14ac:dyDescent="0.2">
      <c r="A14" s="23" t="s">
        <v>60</v>
      </c>
      <c r="B14" s="24">
        <f t="shared" ref="B14:J14" si="6">(B10*0.03*4)+B10</f>
        <v>1211770.56</v>
      </c>
      <c r="C14" s="25">
        <f t="shared" si="6"/>
        <v>1492760.64</v>
      </c>
      <c r="D14" s="24">
        <f t="shared" si="6"/>
        <v>1763715.52</v>
      </c>
      <c r="E14" s="25">
        <f t="shared" si="6"/>
        <v>1775006.24</v>
      </c>
      <c r="F14" s="24">
        <f t="shared" si="6"/>
        <v>1997038.4</v>
      </c>
      <c r="G14" s="25">
        <f t="shared" si="6"/>
        <v>2270502.08</v>
      </c>
      <c r="H14" s="24">
        <f t="shared" si="6"/>
        <v>2691987.2</v>
      </c>
      <c r="I14" s="25">
        <f t="shared" si="6"/>
        <v>3230133.76</v>
      </c>
      <c r="J14" s="24">
        <f t="shared" si="6"/>
        <v>3963970.08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5" x14ac:dyDescent="0.2">
      <c r="A15" s="23" t="s">
        <v>61</v>
      </c>
      <c r="B15" s="24">
        <f t="shared" ref="B15:J15" si="7">(B10*0.03*5)+B10</f>
        <v>1244228.7</v>
      </c>
      <c r="C15" s="25">
        <f t="shared" si="7"/>
        <v>1532745.3</v>
      </c>
      <c r="D15" s="24">
        <f t="shared" si="7"/>
        <v>1810957.9</v>
      </c>
      <c r="E15" s="25">
        <f t="shared" si="7"/>
        <v>1822551.05</v>
      </c>
      <c r="F15" s="24">
        <f t="shared" si="7"/>
        <v>2050530.5</v>
      </c>
      <c r="G15" s="25">
        <f t="shared" si="7"/>
        <v>2331319.1</v>
      </c>
      <c r="H15" s="24">
        <f t="shared" si="7"/>
        <v>2764094</v>
      </c>
      <c r="I15" s="25">
        <f t="shared" si="7"/>
        <v>3316655.2</v>
      </c>
      <c r="J15" s="24">
        <f t="shared" si="7"/>
        <v>4070147.85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15" x14ac:dyDescent="0.2">
      <c r="A16" s="23" t="s">
        <v>62</v>
      </c>
      <c r="B16" s="24">
        <f t="shared" ref="B16:J16" si="8">(B10*0.03*6)+B10</f>
        <v>1276686.8400000001</v>
      </c>
      <c r="C16" s="25">
        <f t="shared" si="8"/>
        <v>1572729.96</v>
      </c>
      <c r="D16" s="24">
        <f t="shared" si="8"/>
        <v>1858200.28</v>
      </c>
      <c r="E16" s="25">
        <f t="shared" si="8"/>
        <v>1870095.8599999999</v>
      </c>
      <c r="F16" s="24">
        <f t="shared" si="8"/>
        <v>2104022.6</v>
      </c>
      <c r="G16" s="25">
        <f t="shared" si="8"/>
        <v>2392136.12</v>
      </c>
      <c r="H16" s="24">
        <f t="shared" si="8"/>
        <v>2836200.8</v>
      </c>
      <c r="I16" s="25">
        <f t="shared" si="8"/>
        <v>3403176.64</v>
      </c>
      <c r="J16" s="24">
        <f t="shared" si="8"/>
        <v>4176325.62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5" x14ac:dyDescent="0.2">
      <c r="A17" s="23" t="s">
        <v>63</v>
      </c>
      <c r="B17" s="24">
        <f t="shared" ref="B17:J17" si="9">(B10*0.03*7)+B10</f>
        <v>1309144.98</v>
      </c>
      <c r="C17" s="25">
        <f t="shared" si="9"/>
        <v>1612714.62</v>
      </c>
      <c r="D17" s="24">
        <f t="shared" si="9"/>
        <v>1905442.66</v>
      </c>
      <c r="E17" s="25">
        <f t="shared" si="9"/>
        <v>1917640.67</v>
      </c>
      <c r="F17" s="24">
        <f t="shared" si="9"/>
        <v>2157514.7000000002</v>
      </c>
      <c r="G17" s="25">
        <f t="shared" si="9"/>
        <v>2452953.14</v>
      </c>
      <c r="H17" s="24">
        <f t="shared" si="9"/>
        <v>2908307.6</v>
      </c>
      <c r="I17" s="25">
        <f t="shared" si="9"/>
        <v>3489698.08</v>
      </c>
      <c r="J17" s="24">
        <f t="shared" si="9"/>
        <v>4282503.3899999997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5" x14ac:dyDescent="0.2">
      <c r="A18" s="23" t="s">
        <v>64</v>
      </c>
      <c r="B18" s="24">
        <f t="shared" ref="B18:J18" si="10">(B10*0.03*8)+B10</f>
        <v>1341603.1200000001</v>
      </c>
      <c r="C18" s="25">
        <f t="shared" si="10"/>
        <v>1652699.28</v>
      </c>
      <c r="D18" s="24">
        <f t="shared" si="10"/>
        <v>1952685.04</v>
      </c>
      <c r="E18" s="25">
        <f t="shared" si="10"/>
        <v>1965185.48</v>
      </c>
      <c r="F18" s="24">
        <f t="shared" si="10"/>
        <v>2211006.7999999998</v>
      </c>
      <c r="G18" s="25">
        <f t="shared" si="10"/>
        <v>2513770.16</v>
      </c>
      <c r="H18" s="24">
        <f t="shared" si="10"/>
        <v>2980414.4</v>
      </c>
      <c r="I18" s="25">
        <f t="shared" si="10"/>
        <v>3576219.52</v>
      </c>
      <c r="J18" s="24">
        <f t="shared" si="10"/>
        <v>4388681.16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15" x14ac:dyDescent="0.2">
      <c r="A19" s="23" t="s">
        <v>65</v>
      </c>
      <c r="B19" s="24">
        <f t="shared" ref="B19:J19" si="11">(B10*0.03*9)+B10</f>
        <v>1374061.26</v>
      </c>
      <c r="C19" s="25">
        <f t="shared" si="11"/>
        <v>1692683.94</v>
      </c>
      <c r="D19" s="24">
        <f t="shared" si="11"/>
        <v>1999927.42</v>
      </c>
      <c r="E19" s="25">
        <f t="shared" si="11"/>
        <v>2012730.29</v>
      </c>
      <c r="F19" s="24">
        <f t="shared" si="11"/>
        <v>2264498.9</v>
      </c>
      <c r="G19" s="25">
        <f t="shared" si="11"/>
        <v>2574587.1799999997</v>
      </c>
      <c r="H19" s="24">
        <f t="shared" si="11"/>
        <v>3052521.2</v>
      </c>
      <c r="I19" s="25">
        <f t="shared" si="11"/>
        <v>3662740.96</v>
      </c>
      <c r="J19" s="24">
        <f t="shared" si="11"/>
        <v>4494858.93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15" x14ac:dyDescent="0.2">
      <c r="A20" s="23" t="s">
        <v>66</v>
      </c>
      <c r="B20" s="24">
        <f t="shared" ref="B20:J20" si="12">(B10*0.03*10)+B10</f>
        <v>1406519.4</v>
      </c>
      <c r="C20" s="25">
        <f t="shared" si="12"/>
        <v>1732668.6</v>
      </c>
      <c r="D20" s="24">
        <f t="shared" si="12"/>
        <v>2047169.8</v>
      </c>
      <c r="E20" s="25">
        <f t="shared" si="12"/>
        <v>2060275.1</v>
      </c>
      <c r="F20" s="24">
        <f t="shared" si="12"/>
        <v>2317991</v>
      </c>
      <c r="G20" s="25">
        <f t="shared" si="12"/>
        <v>2635404.2000000002</v>
      </c>
      <c r="H20" s="24">
        <f t="shared" si="12"/>
        <v>3124628</v>
      </c>
      <c r="I20" s="25">
        <f t="shared" si="12"/>
        <v>3749262.4</v>
      </c>
      <c r="J20" s="24">
        <f t="shared" si="12"/>
        <v>4601036.7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15" x14ac:dyDescent="0.2">
      <c r="A21" s="23" t="s">
        <v>67</v>
      </c>
      <c r="B21" s="24">
        <f t="shared" ref="B21:J21" si="13">(B10*0.03*11)+B10</f>
        <v>1438977.54</v>
      </c>
      <c r="C21" s="25">
        <f t="shared" si="13"/>
        <v>1772653.26</v>
      </c>
      <c r="D21" s="24">
        <f t="shared" si="13"/>
        <v>2094412.18</v>
      </c>
      <c r="E21" s="25">
        <f t="shared" si="13"/>
        <v>2107819.91</v>
      </c>
      <c r="F21" s="24">
        <f t="shared" si="13"/>
        <v>2371483.1</v>
      </c>
      <c r="G21" s="25">
        <f t="shared" si="13"/>
        <v>2696221.2199999997</v>
      </c>
      <c r="H21" s="24">
        <f t="shared" si="13"/>
        <v>3196734.8</v>
      </c>
      <c r="I21" s="25">
        <f t="shared" si="13"/>
        <v>3835783.84</v>
      </c>
      <c r="J21" s="24">
        <f t="shared" si="13"/>
        <v>4707214.47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15" x14ac:dyDescent="0.2">
      <c r="A22" s="23" t="s">
        <v>68</v>
      </c>
      <c r="B22" s="24">
        <f t="shared" ref="B22:J22" si="14">(B10*0.03*12)+B10</f>
        <v>1471435.68</v>
      </c>
      <c r="C22" s="25">
        <f t="shared" si="14"/>
        <v>1812637.92</v>
      </c>
      <c r="D22" s="24">
        <f t="shared" si="14"/>
        <v>2141654.56</v>
      </c>
      <c r="E22" s="25">
        <f t="shared" si="14"/>
        <v>2155364.7199999997</v>
      </c>
      <c r="F22" s="24">
        <f t="shared" si="14"/>
        <v>2424975.2000000002</v>
      </c>
      <c r="G22" s="25">
        <f t="shared" si="14"/>
        <v>2757038.24</v>
      </c>
      <c r="H22" s="24">
        <f t="shared" si="14"/>
        <v>3268841.6</v>
      </c>
      <c r="I22" s="25">
        <f t="shared" si="14"/>
        <v>3922305.2800000003</v>
      </c>
      <c r="J22" s="24">
        <f t="shared" si="14"/>
        <v>4813392.24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15" x14ac:dyDescent="0.2">
      <c r="A23" s="23" t="s">
        <v>69</v>
      </c>
      <c r="B23" s="24">
        <f t="shared" ref="B23:J23" si="15">(B10*0.03*13)+B10</f>
        <v>1503893.82</v>
      </c>
      <c r="C23" s="25">
        <f t="shared" si="15"/>
        <v>1852622.58</v>
      </c>
      <c r="D23" s="24">
        <f t="shared" si="15"/>
        <v>2188896.94</v>
      </c>
      <c r="E23" s="25">
        <f t="shared" si="15"/>
        <v>2202909.5300000003</v>
      </c>
      <c r="F23" s="24">
        <f t="shared" si="15"/>
        <v>2478467.2999999998</v>
      </c>
      <c r="G23" s="25">
        <f t="shared" si="15"/>
        <v>2817855.26</v>
      </c>
      <c r="H23" s="24">
        <f t="shared" si="15"/>
        <v>3340948.4</v>
      </c>
      <c r="I23" s="25">
        <f t="shared" si="15"/>
        <v>4008826.7199999997</v>
      </c>
      <c r="J23" s="24">
        <f t="shared" si="15"/>
        <v>4919570.01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15" x14ac:dyDescent="0.2">
      <c r="A24" s="23" t="s">
        <v>70</v>
      </c>
      <c r="B24" s="24">
        <f t="shared" ref="B24:J24" si="16">(B10*0.03*14)+B10</f>
        <v>1536351.96</v>
      </c>
      <c r="C24" s="25">
        <f t="shared" si="16"/>
        <v>1892607.24</v>
      </c>
      <c r="D24" s="24">
        <f t="shared" si="16"/>
        <v>2236139.3199999998</v>
      </c>
      <c r="E24" s="25">
        <f t="shared" si="16"/>
        <v>2250454.34</v>
      </c>
      <c r="F24" s="24">
        <f t="shared" si="16"/>
        <v>2531959.4</v>
      </c>
      <c r="G24" s="25">
        <f t="shared" si="16"/>
        <v>2878672.28</v>
      </c>
      <c r="H24" s="24">
        <f t="shared" si="16"/>
        <v>3413055.2</v>
      </c>
      <c r="I24" s="25">
        <f t="shared" si="16"/>
        <v>4095348.16</v>
      </c>
      <c r="J24" s="24">
        <f t="shared" si="16"/>
        <v>5025747.7799999993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5" x14ac:dyDescent="0.2">
      <c r="A25" s="23" t="s">
        <v>71</v>
      </c>
      <c r="B25" s="24">
        <f t="shared" ref="B25:J25" si="17">(B10*0.03*15)+B10</f>
        <v>1568810.1</v>
      </c>
      <c r="C25" s="25">
        <f t="shared" si="17"/>
        <v>1932591.9</v>
      </c>
      <c r="D25" s="24">
        <f t="shared" si="17"/>
        <v>2283381.7000000002</v>
      </c>
      <c r="E25" s="25">
        <f t="shared" si="17"/>
        <v>2297999.15</v>
      </c>
      <c r="F25" s="24">
        <f t="shared" si="17"/>
        <v>2585451.5</v>
      </c>
      <c r="G25" s="25">
        <f t="shared" si="17"/>
        <v>2939489.3</v>
      </c>
      <c r="H25" s="24">
        <f t="shared" si="17"/>
        <v>3485162</v>
      </c>
      <c r="I25" s="25">
        <f t="shared" si="17"/>
        <v>4181869.6</v>
      </c>
      <c r="J25" s="24">
        <f t="shared" si="17"/>
        <v>5131925.55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15" x14ac:dyDescent="0.2">
      <c r="A26" s="23" t="s">
        <v>72</v>
      </c>
      <c r="B26" s="24">
        <f t="shared" ref="B26:J26" si="18">(B10*0.03*16)+B10</f>
        <v>1601268.24</v>
      </c>
      <c r="C26" s="25">
        <f t="shared" si="18"/>
        <v>1972576.56</v>
      </c>
      <c r="D26" s="24">
        <f t="shared" si="18"/>
        <v>2330624.08</v>
      </c>
      <c r="E26" s="25">
        <f t="shared" si="18"/>
        <v>2345543.96</v>
      </c>
      <c r="F26" s="24">
        <f t="shared" si="18"/>
        <v>2638943.6</v>
      </c>
      <c r="G26" s="25">
        <f t="shared" si="18"/>
        <v>3000306.32</v>
      </c>
      <c r="H26" s="24">
        <f t="shared" si="18"/>
        <v>3557268.8</v>
      </c>
      <c r="I26" s="25">
        <f t="shared" si="18"/>
        <v>4268391.04</v>
      </c>
      <c r="J26" s="24">
        <f t="shared" si="18"/>
        <v>5238103.32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5" x14ac:dyDescent="0.2">
      <c r="A27" s="23" t="s">
        <v>73</v>
      </c>
      <c r="B27" s="24">
        <f t="shared" ref="B27:J27" si="19">(B10*0.03*17)+B10</f>
        <v>1633726.38</v>
      </c>
      <c r="C27" s="25">
        <f t="shared" si="19"/>
        <v>2012561.22</v>
      </c>
      <c r="D27" s="24">
        <f t="shared" si="19"/>
        <v>2377866.46</v>
      </c>
      <c r="E27" s="25">
        <f t="shared" si="19"/>
        <v>2393088.77</v>
      </c>
      <c r="F27" s="24">
        <f t="shared" si="19"/>
        <v>2692435.7</v>
      </c>
      <c r="G27" s="25">
        <f t="shared" si="19"/>
        <v>3061123.34</v>
      </c>
      <c r="H27" s="24">
        <f t="shared" si="19"/>
        <v>3629375.6</v>
      </c>
      <c r="I27" s="25">
        <f t="shared" si="19"/>
        <v>4354912.4800000004</v>
      </c>
      <c r="J27" s="24">
        <f t="shared" si="19"/>
        <v>5344281.09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15" x14ac:dyDescent="0.2">
      <c r="A28" s="23" t="s">
        <v>74</v>
      </c>
      <c r="B28" s="24">
        <f t="shared" ref="B28:J28" si="20">(B10*0.03*18)+B10</f>
        <v>1666184.52</v>
      </c>
      <c r="C28" s="25">
        <f t="shared" si="20"/>
        <v>2052545.88</v>
      </c>
      <c r="D28" s="24">
        <f t="shared" si="20"/>
        <v>2425108.84</v>
      </c>
      <c r="E28" s="25">
        <f t="shared" si="20"/>
        <v>2440633.58</v>
      </c>
      <c r="F28" s="24">
        <f t="shared" si="20"/>
        <v>2745927.8</v>
      </c>
      <c r="G28" s="25">
        <f t="shared" si="20"/>
        <v>3121940.36</v>
      </c>
      <c r="H28" s="24">
        <f t="shared" si="20"/>
        <v>3701482.4000000004</v>
      </c>
      <c r="I28" s="25">
        <f t="shared" si="20"/>
        <v>4441433.92</v>
      </c>
      <c r="J28" s="24">
        <f t="shared" si="20"/>
        <v>5450458.8599999994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5" x14ac:dyDescent="0.2">
      <c r="A29" s="23" t="s">
        <v>75</v>
      </c>
      <c r="B29" s="24">
        <f t="shared" ref="B29:J29" si="21">(B10*0.03*19)+B10</f>
        <v>1698642.6600000001</v>
      </c>
      <c r="C29" s="25">
        <f t="shared" si="21"/>
        <v>2092530.54</v>
      </c>
      <c r="D29" s="24">
        <f t="shared" si="21"/>
        <v>2472351.2199999997</v>
      </c>
      <c r="E29" s="25">
        <f t="shared" si="21"/>
        <v>2488178.3899999997</v>
      </c>
      <c r="F29" s="24">
        <f t="shared" si="21"/>
        <v>2799419.9</v>
      </c>
      <c r="G29" s="25">
        <f t="shared" si="21"/>
        <v>3182757.38</v>
      </c>
      <c r="H29" s="24">
        <f t="shared" si="21"/>
        <v>3773589.2</v>
      </c>
      <c r="I29" s="25">
        <f t="shared" si="21"/>
        <v>4527955.3600000003</v>
      </c>
      <c r="J29" s="24">
        <f t="shared" si="21"/>
        <v>5556636.6299999999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15" x14ac:dyDescent="0.2">
      <c r="A30" s="23" t="s">
        <v>76</v>
      </c>
      <c r="B30" s="24">
        <f t="shared" ref="B30:J30" si="22">(B10*0.03*20)+B10</f>
        <v>1731100.8</v>
      </c>
      <c r="C30" s="25">
        <f t="shared" si="22"/>
        <v>2132515.2000000002</v>
      </c>
      <c r="D30" s="24">
        <f t="shared" si="22"/>
        <v>2519593.6</v>
      </c>
      <c r="E30" s="25">
        <f t="shared" si="22"/>
        <v>2535723.2000000002</v>
      </c>
      <c r="F30" s="24">
        <f t="shared" si="22"/>
        <v>2852912</v>
      </c>
      <c r="G30" s="25">
        <f t="shared" si="22"/>
        <v>3243574.4</v>
      </c>
      <c r="H30" s="24">
        <f t="shared" si="22"/>
        <v>3845696</v>
      </c>
      <c r="I30" s="25">
        <f t="shared" si="22"/>
        <v>4614476.8</v>
      </c>
      <c r="J30" s="24">
        <f t="shared" si="22"/>
        <v>5662814.4000000004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15" x14ac:dyDescent="0.2">
      <c r="A31" s="23" t="s">
        <v>77</v>
      </c>
      <c r="B31" s="24">
        <f t="shared" ref="B31:J31" si="23">(B10*0.03*21)+B10</f>
        <v>1763558.94</v>
      </c>
      <c r="C31" s="25">
        <f t="shared" si="23"/>
        <v>2172499.86</v>
      </c>
      <c r="D31" s="24">
        <f t="shared" si="23"/>
        <v>2566835.98</v>
      </c>
      <c r="E31" s="25">
        <f t="shared" si="23"/>
        <v>2583268.0099999998</v>
      </c>
      <c r="F31" s="24">
        <f t="shared" si="23"/>
        <v>2906404.0999999996</v>
      </c>
      <c r="G31" s="25">
        <f t="shared" si="23"/>
        <v>3304391.42</v>
      </c>
      <c r="H31" s="24">
        <f t="shared" si="23"/>
        <v>3917802.8</v>
      </c>
      <c r="I31" s="25">
        <f t="shared" si="23"/>
        <v>4700998.24</v>
      </c>
      <c r="J31" s="24">
        <f t="shared" si="23"/>
        <v>5768992.1699999999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15" x14ac:dyDescent="0.2">
      <c r="A32" s="23" t="s">
        <v>78</v>
      </c>
      <c r="B32" s="24">
        <f t="shared" ref="B32:J32" si="24">(B10*0.03*22)+B10</f>
        <v>1796017.08</v>
      </c>
      <c r="C32" s="25">
        <f t="shared" si="24"/>
        <v>2212484.52</v>
      </c>
      <c r="D32" s="24">
        <f t="shared" si="24"/>
        <v>2614078.36</v>
      </c>
      <c r="E32" s="25">
        <f t="shared" si="24"/>
        <v>2630812.8199999998</v>
      </c>
      <c r="F32" s="24">
        <f t="shared" si="24"/>
        <v>2959896.2</v>
      </c>
      <c r="G32" s="25">
        <f t="shared" si="24"/>
        <v>3365208.44</v>
      </c>
      <c r="H32" s="24">
        <f t="shared" si="24"/>
        <v>3989909.6</v>
      </c>
      <c r="I32" s="25">
        <f t="shared" si="24"/>
        <v>4787519.68</v>
      </c>
      <c r="J32" s="24">
        <f t="shared" si="24"/>
        <v>5875169.9399999995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ht="15" x14ac:dyDescent="0.2">
      <c r="A33" s="23" t="s">
        <v>79</v>
      </c>
      <c r="B33" s="24">
        <f t="shared" ref="B33:J33" si="25">(B10*0.03*23)+B10</f>
        <v>1828475.22</v>
      </c>
      <c r="C33" s="25">
        <f t="shared" si="25"/>
        <v>2252469.1799999997</v>
      </c>
      <c r="D33" s="24">
        <f t="shared" si="25"/>
        <v>2661320.7400000002</v>
      </c>
      <c r="E33" s="25">
        <f t="shared" si="25"/>
        <v>2678357.63</v>
      </c>
      <c r="F33" s="24">
        <f t="shared" si="25"/>
        <v>3013388.3</v>
      </c>
      <c r="G33" s="25">
        <f t="shared" si="25"/>
        <v>3426025.46</v>
      </c>
      <c r="H33" s="24">
        <f t="shared" si="25"/>
        <v>4062016.4000000004</v>
      </c>
      <c r="I33" s="25">
        <f t="shared" si="25"/>
        <v>4874041.12</v>
      </c>
      <c r="J33" s="24">
        <f t="shared" si="25"/>
        <v>5981347.71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ht="15" x14ac:dyDescent="0.2">
      <c r="A34" s="23" t="s">
        <v>80</v>
      </c>
      <c r="B34" s="24">
        <f t="shared" ref="B34:J34" si="26">(B10*0.03*24)+B10</f>
        <v>1860933.3599999999</v>
      </c>
      <c r="C34" s="25">
        <f t="shared" si="26"/>
        <v>2292453.84</v>
      </c>
      <c r="D34" s="24">
        <f t="shared" si="26"/>
        <v>2708563.12</v>
      </c>
      <c r="E34" s="25">
        <f t="shared" si="26"/>
        <v>2725902.44</v>
      </c>
      <c r="F34" s="24">
        <f t="shared" si="26"/>
        <v>3066880.4</v>
      </c>
      <c r="G34" s="25">
        <f t="shared" si="26"/>
        <v>3486842.48</v>
      </c>
      <c r="H34" s="24">
        <f t="shared" si="26"/>
        <v>4134123.2</v>
      </c>
      <c r="I34" s="25">
        <f t="shared" si="26"/>
        <v>4960562.5600000005</v>
      </c>
      <c r="J34" s="24">
        <f t="shared" si="26"/>
        <v>6087525.4799999995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ht="15" x14ac:dyDescent="0.2">
      <c r="A35" s="23" t="s">
        <v>81</v>
      </c>
      <c r="B35" s="24">
        <f t="shared" ref="B35:J35" si="27">(B10*0.03*25)+B10</f>
        <v>1893391.5</v>
      </c>
      <c r="C35" s="25">
        <f t="shared" si="27"/>
        <v>2332438.5</v>
      </c>
      <c r="D35" s="24">
        <f t="shared" si="27"/>
        <v>2755805.5</v>
      </c>
      <c r="E35" s="25">
        <f t="shared" si="27"/>
        <v>2773447.25</v>
      </c>
      <c r="F35" s="24">
        <f t="shared" si="27"/>
        <v>3120372.5</v>
      </c>
      <c r="G35" s="25">
        <f t="shared" si="27"/>
        <v>3547659.5</v>
      </c>
      <c r="H35" s="24">
        <f t="shared" si="27"/>
        <v>4206230</v>
      </c>
      <c r="I35" s="25">
        <f t="shared" si="27"/>
        <v>5047084</v>
      </c>
      <c r="J35" s="24">
        <f t="shared" si="27"/>
        <v>6193703.25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</sheetData>
  <printOptions horizontalCentered="1" verticalCentered="1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headerFooter>
    <oddHeader>&amp;C&amp;"Comic Sans MS,Fett"Gehaltstabellen von 01.11.1996 bis 30.06.1997 / Tabelle stipendiali dal 01.11.1996 al 30.06.1997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3.140625"/>
    <col min="2" max="10" width="14.42578125"/>
    <col min="11" max="256" width="11.28515625"/>
    <col min="257" max="1025" width="11.5703125"/>
  </cols>
  <sheetData>
    <row r="1" spans="1:256" x14ac:dyDescent="0.2">
      <c r="A1" s="1"/>
      <c r="B1" s="2"/>
      <c r="C1" s="3"/>
      <c r="D1" s="2"/>
      <c r="E1" s="3"/>
      <c r="F1" s="2"/>
      <c r="G1" s="3"/>
      <c r="H1" s="2"/>
      <c r="I1" s="3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x14ac:dyDescent="0.25">
      <c r="A2" s="39"/>
      <c r="B2" s="9" t="s">
        <v>44</v>
      </c>
      <c r="C2" s="40" t="s">
        <v>45</v>
      </c>
      <c r="D2" s="9" t="s">
        <v>46</v>
      </c>
      <c r="E2" s="40" t="s">
        <v>47</v>
      </c>
      <c r="F2" s="9" t="s">
        <v>48</v>
      </c>
      <c r="G2" s="40" t="s">
        <v>49</v>
      </c>
      <c r="H2" s="9" t="s">
        <v>50</v>
      </c>
      <c r="I2" s="40" t="s">
        <v>51</v>
      </c>
      <c r="J2" s="9" t="s">
        <v>52</v>
      </c>
      <c r="K2" s="70"/>
      <c r="L2" s="7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" x14ac:dyDescent="0.2">
      <c r="A3" s="13" t="s">
        <v>10</v>
      </c>
      <c r="B3" s="14"/>
      <c r="C3" s="15"/>
      <c r="D3" s="14"/>
      <c r="E3" s="15"/>
      <c r="F3" s="14"/>
      <c r="G3" s="15"/>
      <c r="H3" s="14"/>
      <c r="I3" s="15"/>
      <c r="J3" s="14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15.75" x14ac:dyDescent="0.25">
      <c r="A4" s="18" t="s">
        <v>11</v>
      </c>
      <c r="B4" s="19">
        <v>868446</v>
      </c>
      <c r="C4" s="41">
        <v>1068591</v>
      </c>
      <c r="D4" s="19">
        <v>1245731</v>
      </c>
      <c r="E4" s="41">
        <v>1253783</v>
      </c>
      <c r="F4" s="19">
        <v>1411368</v>
      </c>
      <c r="G4" s="41">
        <v>1574705</v>
      </c>
      <c r="H4" s="19">
        <v>1868021</v>
      </c>
      <c r="I4" s="41">
        <v>2282114</v>
      </c>
      <c r="J4" s="19">
        <v>2726115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15" x14ac:dyDescent="0.2">
      <c r="A5" s="23" t="s">
        <v>53</v>
      </c>
      <c r="B5" s="24">
        <f>(B4*0.06*1)+B4</f>
        <v>920552.76</v>
      </c>
      <c r="C5" s="42">
        <f t="shared" ref="C5:J5" si="0">(C4*0.06+1)+C4</f>
        <v>1132707.46</v>
      </c>
      <c r="D5" s="24">
        <f t="shared" si="0"/>
        <v>1320475.8600000001</v>
      </c>
      <c r="E5" s="42">
        <f t="shared" si="0"/>
        <v>1329010.98</v>
      </c>
      <c r="F5" s="24">
        <f t="shared" si="0"/>
        <v>1496051.08</v>
      </c>
      <c r="G5" s="42">
        <f t="shared" si="0"/>
        <v>1669188.3</v>
      </c>
      <c r="H5" s="24">
        <f t="shared" si="0"/>
        <v>1980103.26</v>
      </c>
      <c r="I5" s="42">
        <f t="shared" si="0"/>
        <v>2419041.84</v>
      </c>
      <c r="J5" s="24">
        <f t="shared" si="0"/>
        <v>2889682.9</v>
      </c>
      <c r="K5" s="7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15" x14ac:dyDescent="0.2">
      <c r="A6" s="23" t="s">
        <v>54</v>
      </c>
      <c r="B6" s="24">
        <f t="shared" ref="B6:J6" si="1">(B4*0.06*2)+B4</f>
        <v>972659.52</v>
      </c>
      <c r="C6" s="42">
        <f t="shared" si="1"/>
        <v>1196821.92</v>
      </c>
      <c r="D6" s="24">
        <f t="shared" si="1"/>
        <v>1395218.72</v>
      </c>
      <c r="E6" s="42">
        <f t="shared" si="1"/>
        <v>1404236.96</v>
      </c>
      <c r="F6" s="24">
        <f t="shared" si="1"/>
        <v>1580732.16</v>
      </c>
      <c r="G6" s="42">
        <f t="shared" si="1"/>
        <v>1763669.6</v>
      </c>
      <c r="H6" s="24">
        <f t="shared" si="1"/>
        <v>2092183.52</v>
      </c>
      <c r="I6" s="42">
        <f t="shared" si="1"/>
        <v>2555967.6800000002</v>
      </c>
      <c r="J6" s="24">
        <f t="shared" si="1"/>
        <v>3053248.8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15" x14ac:dyDescent="0.2">
      <c r="A7" s="23" t="s">
        <v>55</v>
      </c>
      <c r="B7" s="24">
        <f t="shared" ref="B7:I7" si="2">(B4*0.06*3)+B4</f>
        <v>1024766.28</v>
      </c>
      <c r="C7" s="42">
        <f t="shared" si="2"/>
        <v>1260937.3799999999</v>
      </c>
      <c r="D7" s="24">
        <f t="shared" si="2"/>
        <v>1469962.58</v>
      </c>
      <c r="E7" s="42">
        <f t="shared" si="2"/>
        <v>1479463.94</v>
      </c>
      <c r="F7" s="24">
        <f t="shared" si="2"/>
        <v>1665414.24</v>
      </c>
      <c r="G7" s="42">
        <f t="shared" si="2"/>
        <v>1858151.9</v>
      </c>
      <c r="H7" s="24">
        <f t="shared" si="2"/>
        <v>2204264.7799999998</v>
      </c>
      <c r="I7" s="42">
        <f t="shared" si="2"/>
        <v>2692894.52</v>
      </c>
      <c r="J7" s="24">
        <f>J4*1.18</f>
        <v>3216815.6999999997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ht="15" x14ac:dyDescent="0.2">
      <c r="A8" s="22"/>
      <c r="B8" s="37"/>
      <c r="C8" s="38"/>
      <c r="D8" s="37"/>
      <c r="E8" s="38"/>
      <c r="F8" s="37"/>
      <c r="G8" s="38"/>
      <c r="H8" s="37"/>
      <c r="I8" s="38"/>
      <c r="J8" s="37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ht="15" x14ac:dyDescent="0.2">
      <c r="A9" s="12" t="s">
        <v>56</v>
      </c>
      <c r="B9" s="44"/>
      <c r="C9" s="45"/>
      <c r="D9" s="44"/>
      <c r="E9" s="45"/>
      <c r="F9" s="44"/>
      <c r="G9" s="45"/>
      <c r="H9" s="44"/>
      <c r="I9" s="45"/>
      <c r="J9" s="44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spans="1:256" ht="15.75" x14ac:dyDescent="0.25">
      <c r="A10" s="18" t="s">
        <v>11</v>
      </c>
      <c r="B10" s="19">
        <v>1111151</v>
      </c>
      <c r="C10" s="20">
        <v>1368809</v>
      </c>
      <c r="D10" s="19">
        <v>1617265</v>
      </c>
      <c r="E10" s="20">
        <v>1627617</v>
      </c>
      <c r="F10" s="19">
        <v>1831213</v>
      </c>
      <c r="G10" s="20">
        <v>2081969</v>
      </c>
      <c r="H10" s="19">
        <v>2468456</v>
      </c>
      <c r="I10" s="20">
        <v>2961918</v>
      </c>
      <c r="J10" s="19">
        <v>3634819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ht="15" x14ac:dyDescent="0.2">
      <c r="A11" s="23" t="s">
        <v>57</v>
      </c>
      <c r="B11" s="24">
        <f t="shared" ref="B11:J11" si="3">B10*1.03</f>
        <v>1144485.53</v>
      </c>
      <c r="C11" s="25">
        <f t="shared" si="3"/>
        <v>1409873.27</v>
      </c>
      <c r="D11" s="24">
        <f t="shared" si="3"/>
        <v>1665782.95</v>
      </c>
      <c r="E11" s="25">
        <f t="shared" si="3"/>
        <v>1676445.51</v>
      </c>
      <c r="F11" s="24">
        <f t="shared" si="3"/>
        <v>1886149.3900000001</v>
      </c>
      <c r="G11" s="25">
        <f t="shared" si="3"/>
        <v>2144428.0699999998</v>
      </c>
      <c r="H11" s="24">
        <f t="shared" si="3"/>
        <v>2542509.6800000002</v>
      </c>
      <c r="I11" s="25">
        <f t="shared" si="3"/>
        <v>3050775.54</v>
      </c>
      <c r="J11" s="24">
        <f t="shared" si="3"/>
        <v>3743863.5700000003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" x14ac:dyDescent="0.2">
      <c r="A12" s="23" t="s">
        <v>58</v>
      </c>
      <c r="B12" s="24">
        <f t="shared" ref="B12:J12" si="4">B10*1.06</f>
        <v>1177820.06</v>
      </c>
      <c r="C12" s="25">
        <f t="shared" si="4"/>
        <v>1450937.54</v>
      </c>
      <c r="D12" s="24">
        <f t="shared" si="4"/>
        <v>1714300.9000000001</v>
      </c>
      <c r="E12" s="25">
        <f t="shared" si="4"/>
        <v>1725274.02</v>
      </c>
      <c r="F12" s="24">
        <f t="shared" si="4"/>
        <v>1941085.78</v>
      </c>
      <c r="G12" s="25">
        <f t="shared" si="4"/>
        <v>2206887.14</v>
      </c>
      <c r="H12" s="24">
        <f t="shared" si="4"/>
        <v>2616563.3600000003</v>
      </c>
      <c r="I12" s="25">
        <f t="shared" si="4"/>
        <v>3139633.08</v>
      </c>
      <c r="J12" s="24">
        <f t="shared" si="4"/>
        <v>3852908.14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ht="15" x14ac:dyDescent="0.2">
      <c r="A13" s="23" t="s">
        <v>59</v>
      </c>
      <c r="B13" s="24">
        <f t="shared" ref="B13:J13" si="5">B10*1.09</f>
        <v>1211154.5900000001</v>
      </c>
      <c r="C13" s="25">
        <f t="shared" si="5"/>
        <v>1492001.81</v>
      </c>
      <c r="D13" s="24">
        <f t="shared" si="5"/>
        <v>1762818.85</v>
      </c>
      <c r="E13" s="25">
        <f t="shared" si="5"/>
        <v>1774102.53</v>
      </c>
      <c r="F13" s="24">
        <f t="shared" si="5"/>
        <v>1996022.1700000002</v>
      </c>
      <c r="G13" s="25">
        <f t="shared" si="5"/>
        <v>2269346.21</v>
      </c>
      <c r="H13" s="24">
        <f t="shared" si="5"/>
        <v>2690617.04</v>
      </c>
      <c r="I13" s="25">
        <f t="shared" si="5"/>
        <v>3228490.62</v>
      </c>
      <c r="J13" s="24">
        <f t="shared" si="5"/>
        <v>3961952.7100000004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15" x14ac:dyDescent="0.2">
      <c r="A14" s="23" t="s">
        <v>60</v>
      </c>
      <c r="B14" s="24">
        <f t="shared" ref="B14:J14" si="6">B10*1.12</f>
        <v>1244489.1200000001</v>
      </c>
      <c r="C14" s="25">
        <f t="shared" si="6"/>
        <v>1533066.08</v>
      </c>
      <c r="D14" s="24">
        <f t="shared" si="6"/>
        <v>1811336.8000000003</v>
      </c>
      <c r="E14" s="25">
        <f t="shared" si="6"/>
        <v>1822931.0400000003</v>
      </c>
      <c r="F14" s="24">
        <f t="shared" si="6"/>
        <v>2050958.5600000003</v>
      </c>
      <c r="G14" s="25">
        <f t="shared" si="6"/>
        <v>2331805.2800000003</v>
      </c>
      <c r="H14" s="24">
        <f t="shared" si="6"/>
        <v>2764670.72</v>
      </c>
      <c r="I14" s="25">
        <f t="shared" si="6"/>
        <v>3317348.16</v>
      </c>
      <c r="J14" s="24">
        <f t="shared" si="6"/>
        <v>4070997.2800000003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5" x14ac:dyDescent="0.2">
      <c r="A15" s="23" t="s">
        <v>61</v>
      </c>
      <c r="B15" s="24">
        <f t="shared" ref="B15:J15" si="7">B10*1.15</f>
        <v>1277823.6499999999</v>
      </c>
      <c r="C15" s="25">
        <f t="shared" si="7"/>
        <v>1574130.3499999999</v>
      </c>
      <c r="D15" s="24">
        <f t="shared" si="7"/>
        <v>1859854.7499999998</v>
      </c>
      <c r="E15" s="25">
        <f t="shared" si="7"/>
        <v>1871759.5499999998</v>
      </c>
      <c r="F15" s="24">
        <f t="shared" si="7"/>
        <v>2105894.9499999997</v>
      </c>
      <c r="G15" s="25">
        <f t="shared" si="7"/>
        <v>2394264.3499999996</v>
      </c>
      <c r="H15" s="24">
        <f t="shared" si="7"/>
        <v>2838724.4</v>
      </c>
      <c r="I15" s="25">
        <f t="shared" si="7"/>
        <v>3406205.6999999997</v>
      </c>
      <c r="J15" s="24">
        <f t="shared" si="7"/>
        <v>4180041.8499999996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15" x14ac:dyDescent="0.2">
      <c r="A16" s="23" t="s">
        <v>62</v>
      </c>
      <c r="B16" s="24">
        <f t="shared" ref="B16:J16" si="8">B10*1.18</f>
        <v>1311158.18</v>
      </c>
      <c r="C16" s="25">
        <f t="shared" si="8"/>
        <v>1615194.6199999999</v>
      </c>
      <c r="D16" s="24">
        <f t="shared" si="8"/>
        <v>1908372.7</v>
      </c>
      <c r="E16" s="25">
        <f t="shared" si="8"/>
        <v>1920588.0599999998</v>
      </c>
      <c r="F16" s="24">
        <f t="shared" si="8"/>
        <v>2160831.34</v>
      </c>
      <c r="G16" s="25">
        <f t="shared" si="8"/>
        <v>2456723.42</v>
      </c>
      <c r="H16" s="24">
        <f t="shared" si="8"/>
        <v>2912778.08</v>
      </c>
      <c r="I16" s="25">
        <f t="shared" si="8"/>
        <v>3495063.2399999998</v>
      </c>
      <c r="J16" s="24">
        <f t="shared" si="8"/>
        <v>4289086.42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5" x14ac:dyDescent="0.2">
      <c r="A17" s="23" t="s">
        <v>63</v>
      </c>
      <c r="B17" s="24">
        <f t="shared" ref="B17:J17" si="9">B10*1.21</f>
        <v>1344492.71</v>
      </c>
      <c r="C17" s="25">
        <f t="shared" si="9"/>
        <v>1656258.89</v>
      </c>
      <c r="D17" s="24">
        <f t="shared" si="9"/>
        <v>1956890.65</v>
      </c>
      <c r="E17" s="25">
        <f t="shared" si="9"/>
        <v>1969416.5699999998</v>
      </c>
      <c r="F17" s="24">
        <f t="shared" si="9"/>
        <v>2215767.73</v>
      </c>
      <c r="G17" s="25">
        <f t="shared" si="9"/>
        <v>2519182.4899999998</v>
      </c>
      <c r="H17" s="24">
        <f t="shared" si="9"/>
        <v>2986831.76</v>
      </c>
      <c r="I17" s="25">
        <f t="shared" si="9"/>
        <v>3583920.78</v>
      </c>
      <c r="J17" s="24">
        <f t="shared" si="9"/>
        <v>4398130.99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5" x14ac:dyDescent="0.2">
      <c r="A18" s="23" t="s">
        <v>64</v>
      </c>
      <c r="B18" s="24">
        <f t="shared" ref="B18:J18" si="10">B10*1.24</f>
        <v>1377827.24</v>
      </c>
      <c r="C18" s="25">
        <f t="shared" si="10"/>
        <v>1697323.16</v>
      </c>
      <c r="D18" s="24">
        <f t="shared" si="10"/>
        <v>2005408.6</v>
      </c>
      <c r="E18" s="25">
        <f t="shared" si="10"/>
        <v>2018245.08</v>
      </c>
      <c r="F18" s="24">
        <f t="shared" si="10"/>
        <v>2270704.12</v>
      </c>
      <c r="G18" s="25">
        <f t="shared" si="10"/>
        <v>2581641.56</v>
      </c>
      <c r="H18" s="24">
        <f t="shared" si="10"/>
        <v>3060885.44</v>
      </c>
      <c r="I18" s="25">
        <f t="shared" si="10"/>
        <v>3672778.32</v>
      </c>
      <c r="J18" s="24">
        <f t="shared" si="10"/>
        <v>4507175.5599999996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15" x14ac:dyDescent="0.2">
      <c r="A19" s="23" t="s">
        <v>65</v>
      </c>
      <c r="B19" s="24">
        <f t="shared" ref="B19:J19" si="11">B10*1.27</f>
        <v>1411161.77</v>
      </c>
      <c r="C19" s="25">
        <f t="shared" si="11"/>
        <v>1738387.43</v>
      </c>
      <c r="D19" s="24">
        <f t="shared" si="11"/>
        <v>2053926.55</v>
      </c>
      <c r="E19" s="25">
        <f t="shared" si="11"/>
        <v>2067073.59</v>
      </c>
      <c r="F19" s="24">
        <f t="shared" si="11"/>
        <v>2325640.5100000002</v>
      </c>
      <c r="G19" s="25">
        <f t="shared" si="11"/>
        <v>2644100.63</v>
      </c>
      <c r="H19" s="24">
        <f t="shared" si="11"/>
        <v>3134939.12</v>
      </c>
      <c r="I19" s="25">
        <f t="shared" si="11"/>
        <v>3761635.86</v>
      </c>
      <c r="J19" s="24">
        <f t="shared" si="11"/>
        <v>4616220.13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15" x14ac:dyDescent="0.2">
      <c r="A20" s="23" t="s">
        <v>66</v>
      </c>
      <c r="B20" s="24">
        <f t="shared" ref="B20:J20" si="12">B10*1.3</f>
        <v>1444496.3</v>
      </c>
      <c r="C20" s="25">
        <f t="shared" si="12"/>
        <v>1779451.7</v>
      </c>
      <c r="D20" s="24">
        <f t="shared" si="12"/>
        <v>2102444.5</v>
      </c>
      <c r="E20" s="25">
        <f t="shared" si="12"/>
        <v>2115902.1</v>
      </c>
      <c r="F20" s="24">
        <f t="shared" si="12"/>
        <v>2380576.9</v>
      </c>
      <c r="G20" s="25">
        <f t="shared" si="12"/>
        <v>2706559.7</v>
      </c>
      <c r="H20" s="24">
        <f t="shared" si="12"/>
        <v>3208992.8000000003</v>
      </c>
      <c r="I20" s="25">
        <f t="shared" si="12"/>
        <v>3850493.4</v>
      </c>
      <c r="J20" s="24">
        <f t="shared" si="12"/>
        <v>4725264.7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15" x14ac:dyDescent="0.2">
      <c r="A21" s="23" t="s">
        <v>67</v>
      </c>
      <c r="B21" s="24">
        <f t="shared" ref="B21:J21" si="13">B10*1.33</f>
        <v>1477830.83</v>
      </c>
      <c r="C21" s="25">
        <f t="shared" si="13"/>
        <v>1820515.9700000002</v>
      </c>
      <c r="D21" s="24">
        <f t="shared" si="13"/>
        <v>2150962.4500000002</v>
      </c>
      <c r="E21" s="25">
        <f t="shared" si="13"/>
        <v>2164730.6100000003</v>
      </c>
      <c r="F21" s="24">
        <f t="shared" si="13"/>
        <v>2435513.29</v>
      </c>
      <c r="G21" s="25">
        <f t="shared" si="13"/>
        <v>2769018.77</v>
      </c>
      <c r="H21" s="24">
        <f t="shared" si="13"/>
        <v>3283046.48</v>
      </c>
      <c r="I21" s="25">
        <f t="shared" si="13"/>
        <v>3939350.9400000004</v>
      </c>
      <c r="J21" s="24">
        <f t="shared" si="13"/>
        <v>4834309.2700000005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15" x14ac:dyDescent="0.2">
      <c r="A22" s="23" t="s">
        <v>68</v>
      </c>
      <c r="B22" s="24">
        <f t="shared" ref="B22:J22" si="14">B10*1.36</f>
        <v>1511165.36</v>
      </c>
      <c r="C22" s="25">
        <f t="shared" si="14"/>
        <v>1861580.2400000002</v>
      </c>
      <c r="D22" s="24">
        <f t="shared" si="14"/>
        <v>2199480.4000000004</v>
      </c>
      <c r="E22" s="25">
        <f t="shared" si="14"/>
        <v>2213559.12</v>
      </c>
      <c r="F22" s="24">
        <f t="shared" si="14"/>
        <v>2490449.6800000002</v>
      </c>
      <c r="G22" s="25">
        <f t="shared" si="14"/>
        <v>2831477.8400000003</v>
      </c>
      <c r="H22" s="24">
        <f t="shared" si="14"/>
        <v>3357100.16</v>
      </c>
      <c r="I22" s="25">
        <f t="shared" si="14"/>
        <v>4028208.4800000004</v>
      </c>
      <c r="J22" s="24">
        <f t="shared" si="14"/>
        <v>4943353.8400000008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15" x14ac:dyDescent="0.2">
      <c r="A23" s="23" t="s">
        <v>69</v>
      </c>
      <c r="B23" s="24">
        <f t="shared" ref="B23:J23" si="15">B10*1.39</f>
        <v>1544499.89</v>
      </c>
      <c r="C23" s="25">
        <f t="shared" si="15"/>
        <v>1902644.5099999998</v>
      </c>
      <c r="D23" s="24">
        <f t="shared" si="15"/>
        <v>2247998.3499999996</v>
      </c>
      <c r="E23" s="25">
        <f t="shared" si="15"/>
        <v>2262387.63</v>
      </c>
      <c r="F23" s="24">
        <f t="shared" si="15"/>
        <v>2545386.0699999998</v>
      </c>
      <c r="G23" s="25">
        <f t="shared" si="15"/>
        <v>2893936.9099999997</v>
      </c>
      <c r="H23" s="24">
        <f t="shared" si="15"/>
        <v>3431153.84</v>
      </c>
      <c r="I23" s="25">
        <f t="shared" si="15"/>
        <v>4117066.0199999996</v>
      </c>
      <c r="J23" s="24">
        <f t="shared" si="15"/>
        <v>5052398.4099999992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15" x14ac:dyDescent="0.2">
      <c r="A24" s="23" t="s">
        <v>70</v>
      </c>
      <c r="B24" s="24">
        <f t="shared" ref="B24:J24" si="16">B10*1.42</f>
        <v>1577834.42</v>
      </c>
      <c r="C24" s="25">
        <f t="shared" si="16"/>
        <v>1943708.7799999998</v>
      </c>
      <c r="D24" s="24">
        <f t="shared" si="16"/>
        <v>2296516.2999999998</v>
      </c>
      <c r="E24" s="25">
        <f t="shared" si="16"/>
        <v>2311216.1399999997</v>
      </c>
      <c r="F24" s="24">
        <f t="shared" si="16"/>
        <v>2600322.46</v>
      </c>
      <c r="G24" s="25">
        <f t="shared" si="16"/>
        <v>2956395.98</v>
      </c>
      <c r="H24" s="24">
        <f t="shared" si="16"/>
        <v>3505207.52</v>
      </c>
      <c r="I24" s="25">
        <f t="shared" si="16"/>
        <v>4205923.5599999996</v>
      </c>
      <c r="J24" s="24">
        <f t="shared" si="16"/>
        <v>5161442.9799999995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5" x14ac:dyDescent="0.2">
      <c r="A25" s="23" t="s">
        <v>71</v>
      </c>
      <c r="B25" s="24">
        <f t="shared" ref="B25:J25" si="17">B10*1.45</f>
        <v>1611168.95</v>
      </c>
      <c r="C25" s="25">
        <f t="shared" si="17"/>
        <v>1984773.05</v>
      </c>
      <c r="D25" s="24">
        <f t="shared" si="17"/>
        <v>2345034.25</v>
      </c>
      <c r="E25" s="25">
        <f t="shared" si="17"/>
        <v>2360044.65</v>
      </c>
      <c r="F25" s="24">
        <f t="shared" si="17"/>
        <v>2655258.85</v>
      </c>
      <c r="G25" s="25">
        <f t="shared" si="17"/>
        <v>3018855.05</v>
      </c>
      <c r="H25" s="24">
        <f t="shared" si="17"/>
        <v>3579261.1999999997</v>
      </c>
      <c r="I25" s="25">
        <f t="shared" si="17"/>
        <v>4294781.0999999996</v>
      </c>
      <c r="J25" s="24">
        <f t="shared" si="17"/>
        <v>5270487.55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15" x14ac:dyDescent="0.2">
      <c r="A26" s="23" t="s">
        <v>72</v>
      </c>
      <c r="B26" s="24">
        <f t="shared" ref="B26:J26" si="18">B10*1.48</f>
        <v>1644503.48</v>
      </c>
      <c r="C26" s="25">
        <f t="shared" si="18"/>
        <v>2025837.32</v>
      </c>
      <c r="D26" s="24">
        <f t="shared" si="18"/>
        <v>2393552.2000000002</v>
      </c>
      <c r="E26" s="25">
        <f t="shared" si="18"/>
        <v>2408873.16</v>
      </c>
      <c r="F26" s="24">
        <f t="shared" si="18"/>
        <v>2710195.2399999998</v>
      </c>
      <c r="G26" s="25">
        <f t="shared" si="18"/>
        <v>3081314.12</v>
      </c>
      <c r="H26" s="24">
        <f t="shared" si="18"/>
        <v>3653314.88</v>
      </c>
      <c r="I26" s="25">
        <f t="shared" si="18"/>
        <v>4383638.6399999997</v>
      </c>
      <c r="J26" s="24">
        <f t="shared" si="18"/>
        <v>5379532.1200000001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5" x14ac:dyDescent="0.2">
      <c r="A27" s="23" t="s">
        <v>73</v>
      </c>
      <c r="B27" s="24">
        <f t="shared" ref="B27:J27" si="19">B10*1.51</f>
        <v>1677838.01</v>
      </c>
      <c r="C27" s="25">
        <f t="shared" si="19"/>
        <v>2066901.59</v>
      </c>
      <c r="D27" s="24">
        <f t="shared" si="19"/>
        <v>2442070.15</v>
      </c>
      <c r="E27" s="25">
        <f t="shared" si="19"/>
        <v>2457701.67</v>
      </c>
      <c r="F27" s="24">
        <f t="shared" si="19"/>
        <v>2765131.63</v>
      </c>
      <c r="G27" s="25">
        <f t="shared" si="19"/>
        <v>3143773.19</v>
      </c>
      <c r="H27" s="24">
        <f t="shared" si="19"/>
        <v>3727368.56</v>
      </c>
      <c r="I27" s="25">
        <f t="shared" si="19"/>
        <v>4472496.18</v>
      </c>
      <c r="J27" s="24">
        <f t="shared" si="19"/>
        <v>5488576.6900000004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15" x14ac:dyDescent="0.2">
      <c r="A28" s="23" t="s">
        <v>74</v>
      </c>
      <c r="B28" s="24">
        <f t="shared" ref="B28:J28" si="20">B10*1.54</f>
        <v>1711172.54</v>
      </c>
      <c r="C28" s="25">
        <f t="shared" si="20"/>
        <v>2107965.86</v>
      </c>
      <c r="D28" s="24">
        <f t="shared" si="20"/>
        <v>2490588.1</v>
      </c>
      <c r="E28" s="25">
        <f t="shared" si="20"/>
        <v>2506530.1800000002</v>
      </c>
      <c r="F28" s="24">
        <f t="shared" si="20"/>
        <v>2820068.02</v>
      </c>
      <c r="G28" s="25">
        <f t="shared" si="20"/>
        <v>3206232.2600000002</v>
      </c>
      <c r="H28" s="24">
        <f t="shared" si="20"/>
        <v>3801422.24</v>
      </c>
      <c r="I28" s="25">
        <f t="shared" si="20"/>
        <v>4561353.72</v>
      </c>
      <c r="J28" s="24">
        <f t="shared" si="20"/>
        <v>5597621.2599999998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5" x14ac:dyDescent="0.2">
      <c r="A29" s="23" t="s">
        <v>75</v>
      </c>
      <c r="B29" s="24">
        <f t="shared" ref="B29:J29" si="21">B10*1.57</f>
        <v>1744507.07</v>
      </c>
      <c r="C29" s="25">
        <f t="shared" si="21"/>
        <v>2149030.13</v>
      </c>
      <c r="D29" s="24">
        <f t="shared" si="21"/>
        <v>2539106.0500000003</v>
      </c>
      <c r="E29" s="25">
        <f t="shared" si="21"/>
        <v>2555358.69</v>
      </c>
      <c r="F29" s="24">
        <f t="shared" si="21"/>
        <v>2875004.41</v>
      </c>
      <c r="G29" s="25">
        <f t="shared" si="21"/>
        <v>3268691.33</v>
      </c>
      <c r="H29" s="24">
        <f t="shared" si="21"/>
        <v>3875475.92</v>
      </c>
      <c r="I29" s="25">
        <f t="shared" si="21"/>
        <v>4650211.26</v>
      </c>
      <c r="J29" s="24">
        <f t="shared" si="21"/>
        <v>5706665.8300000001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15" x14ac:dyDescent="0.2">
      <c r="A30" s="23" t="s">
        <v>76</v>
      </c>
      <c r="B30" s="24">
        <f t="shared" ref="B30:J30" si="22">B10*1.6</f>
        <v>1777841.6</v>
      </c>
      <c r="C30" s="25">
        <f t="shared" si="22"/>
        <v>2190094.4</v>
      </c>
      <c r="D30" s="24">
        <f t="shared" si="22"/>
        <v>2587624</v>
      </c>
      <c r="E30" s="25">
        <f t="shared" si="22"/>
        <v>2604187.2000000002</v>
      </c>
      <c r="F30" s="24">
        <f t="shared" si="22"/>
        <v>2929940.8000000003</v>
      </c>
      <c r="G30" s="25">
        <f t="shared" si="22"/>
        <v>3331150.4000000004</v>
      </c>
      <c r="H30" s="24">
        <f t="shared" si="22"/>
        <v>3949529.6</v>
      </c>
      <c r="I30" s="25">
        <f t="shared" si="22"/>
        <v>4739068.8</v>
      </c>
      <c r="J30" s="24">
        <f t="shared" si="22"/>
        <v>5815710.4000000004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15" x14ac:dyDescent="0.2">
      <c r="A31" s="23" t="s">
        <v>77</v>
      </c>
      <c r="B31" s="24">
        <f t="shared" ref="B31:J31" si="23">B10*1.63</f>
        <v>1811176.13</v>
      </c>
      <c r="C31" s="25">
        <f t="shared" si="23"/>
        <v>2231158.67</v>
      </c>
      <c r="D31" s="24">
        <f t="shared" si="23"/>
        <v>2636141.9499999997</v>
      </c>
      <c r="E31" s="25">
        <f t="shared" si="23"/>
        <v>2653015.71</v>
      </c>
      <c r="F31" s="24">
        <f t="shared" si="23"/>
        <v>2984877.19</v>
      </c>
      <c r="G31" s="25">
        <f t="shared" si="23"/>
        <v>3393609.4699999997</v>
      </c>
      <c r="H31" s="24">
        <f t="shared" si="23"/>
        <v>4023583.28</v>
      </c>
      <c r="I31" s="25">
        <f t="shared" si="23"/>
        <v>4827926.34</v>
      </c>
      <c r="J31" s="24">
        <f t="shared" si="23"/>
        <v>5924754.9699999997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15" x14ac:dyDescent="0.2">
      <c r="A32" s="23" t="s">
        <v>78</v>
      </c>
      <c r="B32" s="24">
        <f t="shared" ref="B32:J32" si="24">B10*1.66</f>
        <v>1844510.66</v>
      </c>
      <c r="C32" s="25">
        <f t="shared" si="24"/>
        <v>2272222.94</v>
      </c>
      <c r="D32" s="24">
        <f t="shared" si="24"/>
        <v>2684659.9</v>
      </c>
      <c r="E32" s="25">
        <f t="shared" si="24"/>
        <v>2701844.2199999997</v>
      </c>
      <c r="F32" s="24">
        <f t="shared" si="24"/>
        <v>3039813.58</v>
      </c>
      <c r="G32" s="25">
        <f t="shared" si="24"/>
        <v>3456068.54</v>
      </c>
      <c r="H32" s="24">
        <f t="shared" si="24"/>
        <v>4097636.96</v>
      </c>
      <c r="I32" s="25">
        <f t="shared" si="24"/>
        <v>4916783.88</v>
      </c>
      <c r="J32" s="24">
        <f t="shared" si="24"/>
        <v>6033799.54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ht="15" x14ac:dyDescent="0.2">
      <c r="A33" s="23" t="s">
        <v>79</v>
      </c>
      <c r="B33" s="24">
        <f t="shared" ref="B33:J33" si="25">B10*1.69</f>
        <v>1877845.19</v>
      </c>
      <c r="C33" s="25">
        <f t="shared" si="25"/>
        <v>2313287.21</v>
      </c>
      <c r="D33" s="24">
        <f t="shared" si="25"/>
        <v>2733177.85</v>
      </c>
      <c r="E33" s="25">
        <f t="shared" si="25"/>
        <v>2750672.73</v>
      </c>
      <c r="F33" s="24">
        <f t="shared" si="25"/>
        <v>3094749.9699999997</v>
      </c>
      <c r="G33" s="25">
        <f t="shared" si="25"/>
        <v>3518527.61</v>
      </c>
      <c r="H33" s="24">
        <f t="shared" si="25"/>
        <v>4171690.6399999997</v>
      </c>
      <c r="I33" s="25">
        <f t="shared" si="25"/>
        <v>5005641.42</v>
      </c>
      <c r="J33" s="24">
        <f t="shared" si="25"/>
        <v>6142844.1099999994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ht="15" x14ac:dyDescent="0.2">
      <c r="A34" s="23" t="s">
        <v>80</v>
      </c>
      <c r="B34" s="24">
        <f t="shared" ref="B34:J34" si="26">B10*1.72</f>
        <v>1911179.72</v>
      </c>
      <c r="C34" s="25">
        <f t="shared" si="26"/>
        <v>2354351.48</v>
      </c>
      <c r="D34" s="24">
        <f t="shared" si="26"/>
        <v>2781695.8</v>
      </c>
      <c r="E34" s="25">
        <f t="shared" si="26"/>
        <v>2799501.2399999998</v>
      </c>
      <c r="F34" s="24">
        <f t="shared" si="26"/>
        <v>3149686.36</v>
      </c>
      <c r="G34" s="25">
        <f t="shared" si="26"/>
        <v>3580986.68</v>
      </c>
      <c r="H34" s="24">
        <f t="shared" si="26"/>
        <v>4245744.32</v>
      </c>
      <c r="I34" s="25">
        <f t="shared" si="26"/>
        <v>5094498.96</v>
      </c>
      <c r="J34" s="24">
        <f t="shared" si="26"/>
        <v>6251888.6799999997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ht="15" x14ac:dyDescent="0.2">
      <c r="A35" s="23" t="s">
        <v>81</v>
      </c>
      <c r="B35" s="24">
        <f t="shared" ref="B35:J35" si="27">B10*1.75</f>
        <v>1944514.25</v>
      </c>
      <c r="C35" s="25">
        <f t="shared" si="27"/>
        <v>2395415.75</v>
      </c>
      <c r="D35" s="24">
        <f t="shared" si="27"/>
        <v>2830213.75</v>
      </c>
      <c r="E35" s="25">
        <f t="shared" si="27"/>
        <v>2848329.75</v>
      </c>
      <c r="F35" s="24">
        <f t="shared" si="27"/>
        <v>3204622.75</v>
      </c>
      <c r="G35" s="25">
        <f t="shared" si="27"/>
        <v>3643445.75</v>
      </c>
      <c r="H35" s="24">
        <f t="shared" si="27"/>
        <v>4319798</v>
      </c>
      <c r="I35" s="25">
        <f t="shared" si="27"/>
        <v>5183356.5</v>
      </c>
      <c r="J35" s="24">
        <f t="shared" si="27"/>
        <v>6360933.25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</sheetData>
  <printOptions horizontalCentered="1" verticalCentered="1"/>
  <pageMargins left="0.78749999999999998" right="0.78749999999999998" top="0.98402777777777795" bottom="0.196527777777778" header="0.51180555555555496" footer="0.51180555555555496"/>
  <pageSetup paperSize="0" scale="0" firstPageNumber="0" orientation="portrait" usePrinterDefaults="0" horizontalDpi="0" verticalDpi="0" copies="0"/>
  <headerFooter>
    <oddHeader>&amp;C&amp;"Comic Sans MS,Fett"Gehaltstabellen von 01.07.1997 bis 30.06.1998 / Tabelle stipendiali dal 01.07.1997 al 30.06.1998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zoomScaleNormal="100" workbookViewId="0">
      <selection activeCell="A10" sqref="A10"/>
    </sheetView>
  </sheetViews>
  <sheetFormatPr baseColWidth="10" defaultColWidth="9.140625" defaultRowHeight="12.75" x14ac:dyDescent="0.2"/>
  <cols>
    <col min="1" max="1" width="24.5703125"/>
    <col min="2" max="10" width="14.42578125"/>
    <col min="11" max="256" width="11.28515625"/>
    <col min="257" max="1025" width="11.5703125"/>
  </cols>
  <sheetData>
    <row r="1" spans="1:256" x14ac:dyDescent="0.2">
      <c r="A1" s="1"/>
      <c r="B1" s="2"/>
      <c r="C1" s="3"/>
      <c r="D1" s="2"/>
      <c r="E1" s="3"/>
      <c r="F1" s="2"/>
      <c r="G1" s="3"/>
      <c r="H1" s="2"/>
      <c r="I1" s="3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x14ac:dyDescent="0.25">
      <c r="A2" s="39"/>
      <c r="B2" s="9" t="s">
        <v>44</v>
      </c>
      <c r="C2" s="40" t="s">
        <v>45</v>
      </c>
      <c r="D2" s="9" t="s">
        <v>46</v>
      </c>
      <c r="E2" s="40" t="s">
        <v>47</v>
      </c>
      <c r="F2" s="9" t="s">
        <v>48</v>
      </c>
      <c r="G2" s="40" t="s">
        <v>49</v>
      </c>
      <c r="H2" s="9" t="s">
        <v>50</v>
      </c>
      <c r="I2" s="40" t="s">
        <v>51</v>
      </c>
      <c r="J2" s="9" t="s">
        <v>52</v>
      </c>
      <c r="K2" s="70"/>
      <c r="L2" s="7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" x14ac:dyDescent="0.2">
      <c r="A3" s="13" t="s">
        <v>10</v>
      </c>
      <c r="B3" s="14"/>
      <c r="C3" s="15"/>
      <c r="D3" s="14"/>
      <c r="E3" s="15"/>
      <c r="F3" s="14"/>
      <c r="G3" s="15"/>
      <c r="H3" s="14"/>
      <c r="I3" s="15"/>
      <c r="J3" s="14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15.75" x14ac:dyDescent="0.25">
      <c r="A4" s="18" t="s">
        <v>11</v>
      </c>
      <c r="B4" s="19">
        <v>897105</v>
      </c>
      <c r="C4" s="20">
        <v>1103854</v>
      </c>
      <c r="D4" s="19">
        <v>1286840</v>
      </c>
      <c r="E4" s="20">
        <v>1295157</v>
      </c>
      <c r="F4" s="19">
        <v>1457943</v>
      </c>
      <c r="G4" s="20">
        <v>1626670</v>
      </c>
      <c r="H4" s="19">
        <v>1929666</v>
      </c>
      <c r="I4" s="20">
        <v>2357424</v>
      </c>
      <c r="J4" s="19">
        <v>2816076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15" x14ac:dyDescent="0.2">
      <c r="A5" s="23" t="s">
        <v>53</v>
      </c>
      <c r="B5" s="24">
        <v>950931</v>
      </c>
      <c r="C5" s="25">
        <v>1170086</v>
      </c>
      <c r="D5" s="24">
        <v>1364050</v>
      </c>
      <c r="E5" s="25">
        <v>1372867</v>
      </c>
      <c r="F5" s="24">
        <v>1545420</v>
      </c>
      <c r="G5" s="25">
        <v>1724270</v>
      </c>
      <c r="H5" s="24">
        <v>2045446</v>
      </c>
      <c r="I5" s="25">
        <v>2498870</v>
      </c>
      <c r="J5" s="24">
        <v>2985041</v>
      </c>
      <c r="K5" s="7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15" x14ac:dyDescent="0.2">
      <c r="A6" s="23" t="s">
        <v>54</v>
      </c>
      <c r="B6" s="24">
        <v>1004757</v>
      </c>
      <c r="C6" s="25">
        <v>1236317</v>
      </c>
      <c r="D6" s="24">
        <v>1441261</v>
      </c>
      <c r="E6" s="25">
        <v>1450576</v>
      </c>
      <c r="F6" s="24">
        <v>1632896</v>
      </c>
      <c r="G6" s="25">
        <v>1821871</v>
      </c>
      <c r="H6" s="24">
        <v>2161226</v>
      </c>
      <c r="I6" s="25">
        <v>2640315</v>
      </c>
      <c r="J6" s="24">
        <v>3154005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15" x14ac:dyDescent="0.2">
      <c r="A7" s="23" t="s">
        <v>55</v>
      </c>
      <c r="B7" s="24">
        <v>1058583</v>
      </c>
      <c r="C7" s="25">
        <v>1302548</v>
      </c>
      <c r="D7" s="24">
        <v>1518471</v>
      </c>
      <c r="E7" s="25">
        <v>1528286</v>
      </c>
      <c r="F7" s="24">
        <v>1720373</v>
      </c>
      <c r="G7" s="25">
        <v>1919471</v>
      </c>
      <c r="H7" s="24">
        <v>2277006</v>
      </c>
      <c r="I7" s="25">
        <v>2781761</v>
      </c>
      <c r="J7" s="24">
        <v>3322970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ht="15" x14ac:dyDescent="0.2">
      <c r="A8" s="22"/>
      <c r="B8" s="37"/>
      <c r="C8" s="38"/>
      <c r="D8" s="37"/>
      <c r="E8" s="38"/>
      <c r="F8" s="37"/>
      <c r="G8" s="38"/>
      <c r="H8" s="37"/>
      <c r="I8" s="38"/>
      <c r="J8" s="37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ht="15" x14ac:dyDescent="0.2">
      <c r="A9" s="12" t="s">
        <v>56</v>
      </c>
      <c r="B9" s="44"/>
      <c r="C9" s="45"/>
      <c r="D9" s="44"/>
      <c r="E9" s="45"/>
      <c r="F9" s="44"/>
      <c r="G9" s="45"/>
      <c r="H9" s="44"/>
      <c r="I9" s="45"/>
      <c r="J9" s="44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spans="1:256" ht="15.75" x14ac:dyDescent="0.25">
      <c r="A10" s="18" t="s">
        <v>11</v>
      </c>
      <c r="B10" s="19">
        <v>1147818</v>
      </c>
      <c r="C10" s="20">
        <v>1413979</v>
      </c>
      <c r="D10" s="19">
        <v>1670634</v>
      </c>
      <c r="E10" s="20">
        <v>1681328</v>
      </c>
      <c r="F10" s="19">
        <v>1891643</v>
      </c>
      <c r="G10" s="20">
        <v>2150674</v>
      </c>
      <c r="H10" s="19">
        <v>2549916</v>
      </c>
      <c r="I10" s="20">
        <v>3059661</v>
      </c>
      <c r="J10" s="19">
        <v>3754768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ht="15" x14ac:dyDescent="0.2">
      <c r="A11" s="23" t="s">
        <v>57</v>
      </c>
      <c r="B11" s="24">
        <v>1182253</v>
      </c>
      <c r="C11" s="25">
        <v>1456399</v>
      </c>
      <c r="D11" s="24">
        <v>1720753</v>
      </c>
      <c r="E11" s="25">
        <v>1731768</v>
      </c>
      <c r="F11" s="24">
        <v>1948392</v>
      </c>
      <c r="G11" s="25">
        <v>2215195</v>
      </c>
      <c r="H11" s="24">
        <v>2626413</v>
      </c>
      <c r="I11" s="25">
        <v>3151451</v>
      </c>
      <c r="J11" s="24">
        <v>3867411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" x14ac:dyDescent="0.2">
      <c r="A12" s="23" t="s">
        <v>58</v>
      </c>
      <c r="B12" s="24">
        <v>1216688</v>
      </c>
      <c r="C12" s="25">
        <v>1498818</v>
      </c>
      <c r="D12" s="24">
        <v>1770872</v>
      </c>
      <c r="E12" s="25">
        <v>1782208</v>
      </c>
      <c r="F12" s="24">
        <v>2005141</v>
      </c>
      <c r="G12" s="25">
        <v>2279715</v>
      </c>
      <c r="H12" s="24">
        <v>2702910</v>
      </c>
      <c r="I12" s="25">
        <v>3243241</v>
      </c>
      <c r="J12" s="24">
        <v>3980054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ht="15" x14ac:dyDescent="0.2">
      <c r="A13" s="23" t="s">
        <v>59</v>
      </c>
      <c r="B13" s="24">
        <v>1251122</v>
      </c>
      <c r="C13" s="25">
        <v>1541237</v>
      </c>
      <c r="D13" s="24">
        <v>1820991</v>
      </c>
      <c r="E13" s="25">
        <v>1832648</v>
      </c>
      <c r="F13" s="24">
        <v>2061891</v>
      </c>
      <c r="G13" s="25">
        <v>2344235</v>
      </c>
      <c r="H13" s="24">
        <v>2779408</v>
      </c>
      <c r="I13" s="25">
        <v>3335030</v>
      </c>
      <c r="J13" s="24">
        <v>4092698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15" x14ac:dyDescent="0.2">
      <c r="A14" s="23" t="s">
        <v>60</v>
      </c>
      <c r="B14" s="24">
        <v>1285557</v>
      </c>
      <c r="C14" s="25">
        <v>1583657</v>
      </c>
      <c r="D14" s="24">
        <v>1871110</v>
      </c>
      <c r="E14" s="25">
        <v>1883088</v>
      </c>
      <c r="F14" s="24">
        <v>2118640</v>
      </c>
      <c r="G14" s="25">
        <v>2408755</v>
      </c>
      <c r="H14" s="24">
        <v>2855905</v>
      </c>
      <c r="I14" s="25">
        <v>3426820</v>
      </c>
      <c r="J14" s="24">
        <v>4205341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5" x14ac:dyDescent="0.2">
      <c r="A15" s="23" t="s">
        <v>61</v>
      </c>
      <c r="B15" s="24">
        <v>1319991</v>
      </c>
      <c r="C15" s="25">
        <v>1626076</v>
      </c>
      <c r="D15" s="24">
        <v>1921229</v>
      </c>
      <c r="E15" s="25">
        <v>1933527</v>
      </c>
      <c r="F15" s="24">
        <v>2175389</v>
      </c>
      <c r="G15" s="25">
        <v>2473275</v>
      </c>
      <c r="H15" s="24">
        <v>2932403</v>
      </c>
      <c r="I15" s="25">
        <v>3518610</v>
      </c>
      <c r="J15" s="24">
        <v>4317984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15" x14ac:dyDescent="0.2">
      <c r="A16" s="23" t="s">
        <v>62</v>
      </c>
      <c r="B16" s="24">
        <v>1354426.4</v>
      </c>
      <c r="C16" s="25">
        <v>1668495</v>
      </c>
      <c r="D16" s="24">
        <v>1971348</v>
      </c>
      <c r="E16" s="25">
        <v>1983967</v>
      </c>
      <c r="F16" s="24">
        <v>2232139</v>
      </c>
      <c r="G16" s="25">
        <v>2537796</v>
      </c>
      <c r="H16" s="24">
        <v>3008900</v>
      </c>
      <c r="I16" s="25">
        <v>3610400</v>
      </c>
      <c r="J16" s="24">
        <v>4430627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5" x14ac:dyDescent="0.2">
      <c r="A17" s="23" t="s">
        <v>63</v>
      </c>
      <c r="B17" s="24">
        <v>1388860</v>
      </c>
      <c r="C17" s="25">
        <v>1710915</v>
      </c>
      <c r="D17" s="24">
        <v>2021467</v>
      </c>
      <c r="E17" s="25">
        <v>2034407</v>
      </c>
      <c r="F17" s="24">
        <v>2288888</v>
      </c>
      <c r="G17" s="25">
        <v>2602316</v>
      </c>
      <c r="H17" s="24">
        <v>3085398</v>
      </c>
      <c r="I17" s="25">
        <v>3702190</v>
      </c>
      <c r="J17" s="24">
        <v>4543270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5" x14ac:dyDescent="0.2">
      <c r="A18" s="23" t="s">
        <v>64</v>
      </c>
      <c r="B18" s="24">
        <v>1423295</v>
      </c>
      <c r="C18" s="25">
        <v>1753334</v>
      </c>
      <c r="D18" s="24">
        <v>2071587</v>
      </c>
      <c r="E18" s="25">
        <v>2084847</v>
      </c>
      <c r="F18" s="24">
        <v>2345637</v>
      </c>
      <c r="G18" s="25">
        <v>2666836</v>
      </c>
      <c r="H18" s="24">
        <v>3161895</v>
      </c>
      <c r="I18" s="25">
        <v>3793980</v>
      </c>
      <c r="J18" s="24">
        <v>4655913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15" x14ac:dyDescent="0.2">
      <c r="A19" s="23" t="s">
        <v>65</v>
      </c>
      <c r="B19" s="24">
        <v>1457729</v>
      </c>
      <c r="C19" s="25">
        <v>1795754</v>
      </c>
      <c r="D19" s="24">
        <v>2121706</v>
      </c>
      <c r="E19" s="25">
        <v>2135287</v>
      </c>
      <c r="F19" s="24">
        <v>2402386</v>
      </c>
      <c r="G19" s="25">
        <v>2731356</v>
      </c>
      <c r="H19" s="24">
        <v>3238393</v>
      </c>
      <c r="I19" s="25">
        <v>3885769</v>
      </c>
      <c r="J19" s="24">
        <v>4768556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15" x14ac:dyDescent="0.2">
      <c r="A20" s="23" t="s">
        <v>66</v>
      </c>
      <c r="B20" s="24">
        <v>1492164</v>
      </c>
      <c r="C20" s="25">
        <v>1838173</v>
      </c>
      <c r="D20" s="24">
        <v>2171825</v>
      </c>
      <c r="E20" s="25">
        <v>2185727</v>
      </c>
      <c r="F20" s="24">
        <v>2459136</v>
      </c>
      <c r="G20" s="25">
        <v>2795877</v>
      </c>
      <c r="H20" s="24">
        <v>3314890</v>
      </c>
      <c r="I20" s="25">
        <v>3977559</v>
      </c>
      <c r="J20" s="24">
        <v>4881199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15" x14ac:dyDescent="0.2">
      <c r="A21" s="23" t="s">
        <v>67</v>
      </c>
      <c r="B21" s="24">
        <v>1526599</v>
      </c>
      <c r="C21" s="25">
        <v>1880592</v>
      </c>
      <c r="D21" s="24">
        <v>2221944</v>
      </c>
      <c r="E21" s="25">
        <v>2236167</v>
      </c>
      <c r="F21" s="24">
        <v>2515885</v>
      </c>
      <c r="G21" s="25">
        <v>2860397</v>
      </c>
      <c r="H21" s="24">
        <v>3391388</v>
      </c>
      <c r="I21" s="25">
        <v>4069349</v>
      </c>
      <c r="J21" s="24">
        <v>4993842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15" x14ac:dyDescent="0.2">
      <c r="A22" s="23" t="s">
        <v>68</v>
      </c>
      <c r="B22" s="24">
        <v>1561033</v>
      </c>
      <c r="C22" s="25">
        <v>1923012</v>
      </c>
      <c r="D22" s="24">
        <v>2272063</v>
      </c>
      <c r="E22" s="25">
        <v>2286606</v>
      </c>
      <c r="F22" s="24">
        <v>2572634</v>
      </c>
      <c r="G22" s="25">
        <v>2924917</v>
      </c>
      <c r="H22" s="24">
        <v>3467885</v>
      </c>
      <c r="I22" s="25">
        <v>4161139</v>
      </c>
      <c r="J22" s="24">
        <v>5106485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15" x14ac:dyDescent="0.2">
      <c r="A23" s="23" t="s">
        <v>69</v>
      </c>
      <c r="B23" s="24">
        <v>1595468</v>
      </c>
      <c r="C23" s="25">
        <v>1965431</v>
      </c>
      <c r="D23" s="24">
        <v>2322182</v>
      </c>
      <c r="E23" s="25">
        <v>2337046</v>
      </c>
      <c r="F23" s="24">
        <v>2629384</v>
      </c>
      <c r="G23" s="25">
        <v>2989437</v>
      </c>
      <c r="H23" s="24">
        <v>3544383</v>
      </c>
      <c r="I23" s="25">
        <v>4252929</v>
      </c>
      <c r="J23" s="24">
        <v>5219128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15" x14ac:dyDescent="0.2">
      <c r="A24" s="23" t="s">
        <v>70</v>
      </c>
      <c r="B24" s="24">
        <v>1629902</v>
      </c>
      <c r="C24" s="25">
        <v>2007851</v>
      </c>
      <c r="D24" s="24">
        <v>2372301</v>
      </c>
      <c r="E24" s="25">
        <v>2387486</v>
      </c>
      <c r="F24" s="24">
        <v>2686133</v>
      </c>
      <c r="G24" s="25">
        <v>3053958</v>
      </c>
      <c r="H24" s="24">
        <v>3620880</v>
      </c>
      <c r="I24" s="25">
        <v>4344719</v>
      </c>
      <c r="J24" s="24">
        <v>5331771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5" x14ac:dyDescent="0.2">
      <c r="A25" s="23" t="s">
        <v>71</v>
      </c>
      <c r="B25" s="24">
        <v>1664337</v>
      </c>
      <c r="C25" s="25">
        <v>2050270</v>
      </c>
      <c r="D25" s="24">
        <v>2422420</v>
      </c>
      <c r="E25" s="25">
        <v>2437926</v>
      </c>
      <c r="F25" s="24">
        <v>2742882</v>
      </c>
      <c r="G25" s="25">
        <v>3118478</v>
      </c>
      <c r="H25" s="24">
        <v>3697377</v>
      </c>
      <c r="I25" s="25">
        <v>4436508</v>
      </c>
      <c r="J25" s="24">
        <v>5444414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15" x14ac:dyDescent="0.2">
      <c r="A26" s="23" t="s">
        <v>72</v>
      </c>
      <c r="B26" s="24">
        <v>1698771</v>
      </c>
      <c r="C26" s="25">
        <v>2092689</v>
      </c>
      <c r="D26" s="24">
        <v>2472539</v>
      </c>
      <c r="E26" s="25">
        <v>2488366</v>
      </c>
      <c r="F26" s="24">
        <v>2799631</v>
      </c>
      <c r="G26" s="25">
        <v>3182998</v>
      </c>
      <c r="H26" s="24">
        <v>3773875</v>
      </c>
      <c r="I26" s="25">
        <v>4528298</v>
      </c>
      <c r="J26" s="24">
        <v>5557057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5" x14ac:dyDescent="0.2">
      <c r="A27" s="23" t="s">
        <v>73</v>
      </c>
      <c r="B27" s="24">
        <v>1733206</v>
      </c>
      <c r="C27" s="25">
        <v>2135109</v>
      </c>
      <c r="D27" s="24">
        <v>2522658</v>
      </c>
      <c r="E27" s="25">
        <v>2538806</v>
      </c>
      <c r="F27" s="24">
        <v>2856381</v>
      </c>
      <c r="G27" s="25">
        <v>3247518</v>
      </c>
      <c r="H27" s="24">
        <v>3850372</v>
      </c>
      <c r="I27" s="25">
        <v>2620088</v>
      </c>
      <c r="J27" s="24">
        <v>5669700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15" x14ac:dyDescent="0.2">
      <c r="A28" s="23" t="s">
        <v>74</v>
      </c>
      <c r="B28" s="24">
        <v>1767640</v>
      </c>
      <c r="C28" s="25">
        <v>2177528</v>
      </c>
      <c r="D28" s="24">
        <v>2572777</v>
      </c>
      <c r="E28" s="25">
        <v>2589246</v>
      </c>
      <c r="F28" s="24">
        <v>2913130</v>
      </c>
      <c r="G28" s="25">
        <v>3312038</v>
      </c>
      <c r="H28" s="24">
        <v>3926870</v>
      </c>
      <c r="I28" s="25">
        <v>4711878</v>
      </c>
      <c r="J28" s="24">
        <v>5782343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5" x14ac:dyDescent="0.2">
      <c r="A29" s="23" t="s">
        <v>75</v>
      </c>
      <c r="B29" s="24">
        <v>1802075</v>
      </c>
      <c r="C29" s="25">
        <v>2219947</v>
      </c>
      <c r="D29" s="24">
        <v>2622896</v>
      </c>
      <c r="E29" s="25">
        <v>2639685</v>
      </c>
      <c r="F29" s="24">
        <v>2969879</v>
      </c>
      <c r="G29" s="25">
        <v>3376559</v>
      </c>
      <c r="H29" s="24">
        <v>4003367</v>
      </c>
      <c r="I29" s="25">
        <v>4803668</v>
      </c>
      <c r="J29" s="24">
        <v>5894986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15" x14ac:dyDescent="0.2">
      <c r="A30" s="23" t="s">
        <v>76</v>
      </c>
      <c r="B30" s="24">
        <v>1836510</v>
      </c>
      <c r="C30" s="25">
        <v>2262367</v>
      </c>
      <c r="D30" s="24">
        <v>2673015</v>
      </c>
      <c r="E30" s="25">
        <v>2690125</v>
      </c>
      <c r="F30" s="24">
        <v>3026628</v>
      </c>
      <c r="G30" s="25">
        <v>3441079</v>
      </c>
      <c r="H30" s="24">
        <v>4079865</v>
      </c>
      <c r="I30" s="25">
        <v>4895458</v>
      </c>
      <c r="J30" s="24">
        <v>6007629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15" x14ac:dyDescent="0.2">
      <c r="A31" s="23" t="s">
        <v>77</v>
      </c>
      <c r="B31" s="24">
        <v>1870944</v>
      </c>
      <c r="C31" s="25">
        <v>2304786</v>
      </c>
      <c r="D31" s="24">
        <v>2723134</v>
      </c>
      <c r="E31" s="25">
        <v>2740565</v>
      </c>
      <c r="F31" s="24">
        <v>3083378</v>
      </c>
      <c r="G31" s="25">
        <v>3505599</v>
      </c>
      <c r="H31" s="24">
        <v>4156362</v>
      </c>
      <c r="I31" s="25">
        <v>4987247</v>
      </c>
      <c r="J31" s="24">
        <v>6120272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15" x14ac:dyDescent="0.2">
      <c r="A32" s="23" t="s">
        <v>78</v>
      </c>
      <c r="B32" s="24">
        <v>1905379</v>
      </c>
      <c r="C32" s="25">
        <v>2347206</v>
      </c>
      <c r="D32" s="24">
        <v>2773253</v>
      </c>
      <c r="E32" s="25">
        <v>2791005</v>
      </c>
      <c r="F32" s="24">
        <v>3140127</v>
      </c>
      <c r="G32" s="25">
        <v>3570119</v>
      </c>
      <c r="H32" s="24">
        <v>4232860</v>
      </c>
      <c r="I32" s="25">
        <v>5079037</v>
      </c>
      <c r="J32" s="24">
        <v>6232916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ht="15" x14ac:dyDescent="0.2">
      <c r="A33" s="23" t="s">
        <v>79</v>
      </c>
      <c r="B33" s="24">
        <v>1939813</v>
      </c>
      <c r="C33" s="25">
        <v>2389625</v>
      </c>
      <c r="D33" s="24">
        <v>2823372</v>
      </c>
      <c r="E33" s="25">
        <v>2841445</v>
      </c>
      <c r="F33" s="24">
        <v>3196876</v>
      </c>
      <c r="G33" s="25">
        <v>3634640</v>
      </c>
      <c r="H33" s="24">
        <v>4309357</v>
      </c>
      <c r="I33" s="25">
        <v>5170827</v>
      </c>
      <c r="J33" s="24">
        <v>6345559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ht="15" x14ac:dyDescent="0.2">
      <c r="A34" s="23" t="s">
        <v>80</v>
      </c>
      <c r="B34" s="24">
        <v>1974247</v>
      </c>
      <c r="C34" s="25">
        <v>2432044</v>
      </c>
      <c r="D34" s="24">
        <v>2873490</v>
      </c>
      <c r="E34" s="25">
        <v>2891884</v>
      </c>
      <c r="F34" s="24">
        <v>3253626</v>
      </c>
      <c r="G34" s="25">
        <v>3699159</v>
      </c>
      <c r="H34" s="24">
        <v>4385854</v>
      </c>
      <c r="I34" s="25">
        <v>5262617</v>
      </c>
      <c r="J34" s="24">
        <v>6458201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ht="15" x14ac:dyDescent="0.2">
      <c r="A35" s="23" t="s">
        <v>81</v>
      </c>
      <c r="B35" s="24">
        <v>2008682</v>
      </c>
      <c r="C35" s="25">
        <v>2474463</v>
      </c>
      <c r="D35" s="24">
        <v>2923610</v>
      </c>
      <c r="E35" s="25">
        <v>2942324</v>
      </c>
      <c r="F35" s="24">
        <v>3310375</v>
      </c>
      <c r="G35" s="25">
        <v>3763680</v>
      </c>
      <c r="H35" s="24">
        <v>4462351</v>
      </c>
      <c r="I35" s="25">
        <v>5354407</v>
      </c>
      <c r="J35" s="24">
        <v>6570844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</sheetData>
  <printOptions horizontalCentered="1" verticalCentered="1"/>
  <pageMargins left="0.78749999999999998" right="0.78749999999999998" top="0.78749999999999998" bottom="0.59027777777777801" header="0.51180555555555496" footer="0.51180555555555496"/>
  <pageSetup paperSize="0" scale="0" firstPageNumber="0" orientation="portrait" usePrinterDefaults="0" horizontalDpi="0" verticalDpi="0" copies="0"/>
  <headerFooter>
    <oddHeader>&amp;C&amp;"Comic Sans MS,Fett"Gehaltstabellen von 01.07.1998 bis 30.06.1998 / Tabelle stipendiali dal 01.07.1998 al 30.06.1998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"/>
  <sheetViews>
    <sheetView zoomScaleNormal="100" workbookViewId="0"/>
  </sheetViews>
  <sheetFormatPr baseColWidth="10" defaultColWidth="9.140625" defaultRowHeight="12.75" x14ac:dyDescent="0.2"/>
  <cols>
    <col min="1" max="1" width="25.85546875"/>
    <col min="2" max="10" width="14.42578125"/>
    <col min="11" max="11" width="11.28515625"/>
    <col min="12" max="256" width="11"/>
    <col min="257" max="1025" width="11.5703125"/>
  </cols>
  <sheetData>
    <row r="1" spans="1:256" ht="15" customHeight="1" x14ac:dyDescent="0.25">
      <c r="A1" s="39"/>
      <c r="B1" s="9" t="s">
        <v>44</v>
      </c>
      <c r="C1" s="40" t="s">
        <v>45</v>
      </c>
      <c r="D1" s="9" t="s">
        <v>46</v>
      </c>
      <c r="E1" s="40" t="s">
        <v>47</v>
      </c>
      <c r="F1" s="9" t="s">
        <v>48</v>
      </c>
      <c r="G1" s="40" t="s">
        <v>49</v>
      </c>
      <c r="H1" s="9" t="s">
        <v>50</v>
      </c>
      <c r="I1" s="40" t="s">
        <v>51</v>
      </c>
      <c r="J1" s="9" t="s">
        <v>52</v>
      </c>
      <c r="K1" s="73"/>
      <c r="L1" s="71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15" customHeight="1" x14ac:dyDescent="0.2">
      <c r="A2" s="13" t="s">
        <v>10</v>
      </c>
      <c r="B2" s="14"/>
      <c r="C2" s="15"/>
      <c r="D2" s="14"/>
      <c r="E2" s="15"/>
      <c r="F2" s="14"/>
      <c r="G2" s="15"/>
      <c r="H2" s="14"/>
      <c r="I2" s="15"/>
      <c r="J2" s="14"/>
      <c r="K2" s="74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</row>
    <row r="3" spans="1:256" ht="15" customHeight="1" x14ac:dyDescent="0.25">
      <c r="A3" s="18" t="s">
        <v>85</v>
      </c>
      <c r="B3" s="19">
        <v>910584</v>
      </c>
      <c r="C3" s="20">
        <v>1120428</v>
      </c>
      <c r="D3" s="19">
        <v>1217518</v>
      </c>
      <c r="E3" s="20">
        <v>1314608</v>
      </c>
      <c r="F3" s="19">
        <v>1479832</v>
      </c>
      <c r="G3" s="20">
        <v>1651077</v>
      </c>
      <c r="H3" s="19">
        <v>1958620</v>
      </c>
      <c r="I3" s="20">
        <v>2392788</v>
      </c>
      <c r="J3" s="19">
        <v>2858345</v>
      </c>
      <c r="K3" s="75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ht="15" customHeight="1" x14ac:dyDescent="0.2">
      <c r="A4" s="23" t="s">
        <v>53</v>
      </c>
      <c r="B4" s="24">
        <f t="shared" ref="B4:J4" si="0">(B3*0.06*1)+B3</f>
        <v>965219.04</v>
      </c>
      <c r="C4" s="25">
        <f t="shared" si="0"/>
        <v>1187653.68</v>
      </c>
      <c r="D4" s="24">
        <f t="shared" si="0"/>
        <v>1290569.08</v>
      </c>
      <c r="E4" s="25">
        <f t="shared" si="0"/>
        <v>1393484.48</v>
      </c>
      <c r="F4" s="24">
        <f t="shared" si="0"/>
        <v>1568621.92</v>
      </c>
      <c r="G4" s="25">
        <f t="shared" si="0"/>
        <v>1750141.62</v>
      </c>
      <c r="H4" s="24">
        <f t="shared" si="0"/>
        <v>2076137.2</v>
      </c>
      <c r="I4" s="25">
        <f t="shared" si="0"/>
        <v>2536355.2799999998</v>
      </c>
      <c r="J4" s="24">
        <f t="shared" si="0"/>
        <v>3029845.7</v>
      </c>
      <c r="K4" s="76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</row>
    <row r="5" spans="1:256" ht="15" customHeight="1" x14ac:dyDescent="0.2">
      <c r="A5" s="23" t="s">
        <v>54</v>
      </c>
      <c r="B5" s="24">
        <f t="shared" ref="B5:J5" si="1">(B3*0.06*2)+B3</f>
        <v>1019854.08</v>
      </c>
      <c r="C5" s="25">
        <f t="shared" si="1"/>
        <v>1254879.3599999999</v>
      </c>
      <c r="D5" s="24">
        <f t="shared" si="1"/>
        <v>1363620.16</v>
      </c>
      <c r="E5" s="25">
        <f t="shared" si="1"/>
        <v>1472360.96</v>
      </c>
      <c r="F5" s="24">
        <f t="shared" si="1"/>
        <v>1657411.84</v>
      </c>
      <c r="G5" s="25">
        <f t="shared" si="1"/>
        <v>1849206.24</v>
      </c>
      <c r="H5" s="24">
        <f t="shared" si="1"/>
        <v>2193654.4</v>
      </c>
      <c r="I5" s="25">
        <f t="shared" si="1"/>
        <v>2679922.56</v>
      </c>
      <c r="J5" s="24">
        <f t="shared" si="1"/>
        <v>3201346.4</v>
      </c>
      <c r="K5" s="63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15" customHeight="1" x14ac:dyDescent="0.2">
      <c r="A6" s="23" t="s">
        <v>55</v>
      </c>
      <c r="B6" s="24">
        <f t="shared" ref="B6:J6" si="2">(B3*0.06*3)+B3</f>
        <v>1074489.1200000001</v>
      </c>
      <c r="C6" s="25">
        <f t="shared" si="2"/>
        <v>1322105.04</v>
      </c>
      <c r="D6" s="24">
        <f t="shared" si="2"/>
        <v>1436671.24</v>
      </c>
      <c r="E6" s="25">
        <f t="shared" si="2"/>
        <v>1551237.44</v>
      </c>
      <c r="F6" s="24">
        <f t="shared" si="2"/>
        <v>1746201.76</v>
      </c>
      <c r="G6" s="25">
        <f t="shared" si="2"/>
        <v>1948270.8599999999</v>
      </c>
      <c r="H6" s="24">
        <f t="shared" si="2"/>
        <v>2311171.6</v>
      </c>
      <c r="I6" s="25">
        <f t="shared" si="2"/>
        <v>2823489.84</v>
      </c>
      <c r="J6" s="24">
        <f t="shared" si="2"/>
        <v>3372847.1</v>
      </c>
      <c r="K6" s="63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15" customHeight="1" x14ac:dyDescent="0.2">
      <c r="A7" s="22"/>
      <c r="B7" s="37"/>
      <c r="C7" s="38"/>
      <c r="D7" s="37"/>
      <c r="E7" s="38"/>
      <c r="F7" s="37"/>
      <c r="G7" s="38"/>
      <c r="H7" s="37"/>
      <c r="I7" s="38"/>
      <c r="J7" s="37"/>
      <c r="K7" s="63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ht="15" customHeight="1" x14ac:dyDescent="0.2">
      <c r="A8" s="12" t="s">
        <v>56</v>
      </c>
      <c r="B8" s="44"/>
      <c r="C8" s="45"/>
      <c r="D8" s="44"/>
      <c r="E8" s="45"/>
      <c r="F8" s="44"/>
      <c r="G8" s="45"/>
      <c r="H8" s="44"/>
      <c r="I8" s="45"/>
      <c r="J8" s="44"/>
      <c r="K8" s="74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</row>
    <row r="9" spans="1:256" ht="15" customHeight="1" x14ac:dyDescent="0.25">
      <c r="A9" s="18" t="s">
        <v>85</v>
      </c>
      <c r="B9" s="19">
        <v>1165080</v>
      </c>
      <c r="C9" s="20">
        <v>1435210</v>
      </c>
      <c r="D9" s="19">
        <v>1570869</v>
      </c>
      <c r="E9" s="20">
        <v>1706588</v>
      </c>
      <c r="F9" s="19">
        <v>1920022</v>
      </c>
      <c r="G9" s="20">
        <v>2182943</v>
      </c>
      <c r="H9" s="19">
        <v>2588185</v>
      </c>
      <c r="I9" s="20">
        <v>3105572</v>
      </c>
      <c r="J9" s="19">
        <v>3811117</v>
      </c>
      <c r="K9" s="75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 ht="15" customHeight="1" x14ac:dyDescent="0.2">
      <c r="A10" s="23" t="s">
        <v>57</v>
      </c>
      <c r="B10" s="24">
        <f t="shared" ref="B10:J10" si="3">(B9*0.03)+B9</f>
        <v>1200032.3999999999</v>
      </c>
      <c r="C10" s="25">
        <f t="shared" si="3"/>
        <v>1478266.3</v>
      </c>
      <c r="D10" s="24">
        <f t="shared" si="3"/>
        <v>1617995.07</v>
      </c>
      <c r="E10" s="25">
        <f t="shared" si="3"/>
        <v>1757785.64</v>
      </c>
      <c r="F10" s="24">
        <f t="shared" si="3"/>
        <v>1977622.66</v>
      </c>
      <c r="G10" s="25">
        <f t="shared" si="3"/>
        <v>2248431.29</v>
      </c>
      <c r="H10" s="24">
        <f t="shared" si="3"/>
        <v>2665830.5499999998</v>
      </c>
      <c r="I10" s="25">
        <f t="shared" si="3"/>
        <v>3198739.16</v>
      </c>
      <c r="J10" s="24">
        <f t="shared" si="3"/>
        <v>3925450.51</v>
      </c>
      <c r="K10" s="63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ht="15" customHeight="1" x14ac:dyDescent="0.2">
      <c r="A11" s="23" t="s">
        <v>58</v>
      </c>
      <c r="B11" s="24">
        <f t="shared" ref="B11:J11" si="4">(B9*0.03*2)+B9</f>
        <v>1234984.8</v>
      </c>
      <c r="C11" s="25">
        <f t="shared" si="4"/>
        <v>1521322.6</v>
      </c>
      <c r="D11" s="24">
        <f t="shared" si="4"/>
        <v>1665121.14</v>
      </c>
      <c r="E11" s="25">
        <f t="shared" si="4"/>
        <v>1808983.28</v>
      </c>
      <c r="F11" s="24">
        <f t="shared" si="4"/>
        <v>2035223.32</v>
      </c>
      <c r="G11" s="25">
        <f t="shared" si="4"/>
        <v>2313919.58</v>
      </c>
      <c r="H11" s="24">
        <f t="shared" si="4"/>
        <v>2743476.1</v>
      </c>
      <c r="I11" s="25">
        <f t="shared" si="4"/>
        <v>3291906.32</v>
      </c>
      <c r="J11" s="24">
        <f t="shared" si="4"/>
        <v>4039784.02</v>
      </c>
      <c r="K11" s="63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" customHeight="1" x14ac:dyDescent="0.2">
      <c r="A12" s="23" t="s">
        <v>59</v>
      </c>
      <c r="B12" s="24">
        <f t="shared" ref="B12:J12" si="5">(B9*0.03*3)+B9</f>
        <v>1269937.2</v>
      </c>
      <c r="C12" s="25">
        <f t="shared" si="5"/>
        <v>1564378.9</v>
      </c>
      <c r="D12" s="24">
        <f t="shared" si="5"/>
        <v>1712247.21</v>
      </c>
      <c r="E12" s="25">
        <f t="shared" si="5"/>
        <v>1860180.92</v>
      </c>
      <c r="F12" s="24">
        <f t="shared" si="5"/>
        <v>2092823.98</v>
      </c>
      <c r="G12" s="25">
        <f t="shared" si="5"/>
        <v>2379407.87</v>
      </c>
      <c r="H12" s="24">
        <f t="shared" si="5"/>
        <v>2821121.65</v>
      </c>
      <c r="I12" s="25">
        <f t="shared" si="5"/>
        <v>3385073.48</v>
      </c>
      <c r="J12" s="24">
        <f t="shared" si="5"/>
        <v>4154117.53</v>
      </c>
      <c r="K12" s="6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ht="15" customHeight="1" x14ac:dyDescent="0.2">
      <c r="A13" s="23" t="s">
        <v>60</v>
      </c>
      <c r="B13" s="24">
        <f t="shared" ref="B13:J13" si="6">(B9*0.03*4)+B9</f>
        <v>1304889.6000000001</v>
      </c>
      <c r="C13" s="25">
        <f t="shared" si="6"/>
        <v>1607435.2</v>
      </c>
      <c r="D13" s="24">
        <f t="shared" si="6"/>
        <v>1759373.28</v>
      </c>
      <c r="E13" s="25">
        <f t="shared" si="6"/>
        <v>1911378.56</v>
      </c>
      <c r="F13" s="24">
        <f t="shared" si="6"/>
        <v>2150424.64</v>
      </c>
      <c r="G13" s="25">
        <f t="shared" si="6"/>
        <v>2444896.16</v>
      </c>
      <c r="H13" s="24">
        <f t="shared" si="6"/>
        <v>2898767.2</v>
      </c>
      <c r="I13" s="25">
        <f t="shared" si="6"/>
        <v>3478240.64</v>
      </c>
      <c r="J13" s="24">
        <f t="shared" si="6"/>
        <v>4268451.04</v>
      </c>
      <c r="K13" s="63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15" customHeight="1" x14ac:dyDescent="0.2">
      <c r="A14" s="23" t="s">
        <v>61</v>
      </c>
      <c r="B14" s="24">
        <f t="shared" ref="B14:J14" si="7">(B9*0.03*5)+B9</f>
        <v>1339842</v>
      </c>
      <c r="C14" s="25">
        <f t="shared" si="7"/>
        <v>1650491.5</v>
      </c>
      <c r="D14" s="24">
        <f t="shared" si="7"/>
        <v>1806499.35</v>
      </c>
      <c r="E14" s="25">
        <f t="shared" si="7"/>
        <v>1962576.2</v>
      </c>
      <c r="F14" s="24">
        <f t="shared" si="7"/>
        <v>2208025.2999999998</v>
      </c>
      <c r="G14" s="25">
        <f t="shared" si="7"/>
        <v>2510384.4500000002</v>
      </c>
      <c r="H14" s="24">
        <f t="shared" si="7"/>
        <v>2976412.75</v>
      </c>
      <c r="I14" s="25">
        <f t="shared" si="7"/>
        <v>3571407.8</v>
      </c>
      <c r="J14" s="24">
        <f t="shared" si="7"/>
        <v>4382784.55</v>
      </c>
      <c r="K14" s="6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5" customHeight="1" x14ac:dyDescent="0.2">
      <c r="A15" s="23" t="s">
        <v>62</v>
      </c>
      <c r="B15" s="24">
        <f t="shared" ref="B15:J15" si="8">(B9*0.03*6)+B9</f>
        <v>1374794.4</v>
      </c>
      <c r="C15" s="25">
        <f t="shared" si="8"/>
        <v>1693547.8</v>
      </c>
      <c r="D15" s="24">
        <f t="shared" si="8"/>
        <v>1853625.42</v>
      </c>
      <c r="E15" s="25">
        <f t="shared" si="8"/>
        <v>2013773.8399999999</v>
      </c>
      <c r="F15" s="24">
        <f t="shared" si="8"/>
        <v>2265625.96</v>
      </c>
      <c r="G15" s="25">
        <f t="shared" si="8"/>
        <v>2575872.7400000002</v>
      </c>
      <c r="H15" s="24">
        <f t="shared" si="8"/>
        <v>3054058.3</v>
      </c>
      <c r="I15" s="25">
        <f t="shared" si="8"/>
        <v>3664574.96</v>
      </c>
      <c r="J15" s="24">
        <f t="shared" si="8"/>
        <v>4497118.0599999996</v>
      </c>
      <c r="K15" s="63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15" customHeight="1" x14ac:dyDescent="0.2">
      <c r="A16" s="23" t="s">
        <v>63</v>
      </c>
      <c r="B16" s="24">
        <f t="shared" ref="B16:J16" si="9">(B9*0.03*7)+B9</f>
        <v>1409746.8</v>
      </c>
      <c r="C16" s="25">
        <f t="shared" si="9"/>
        <v>1736604.1</v>
      </c>
      <c r="D16" s="24">
        <f t="shared" si="9"/>
        <v>1900751.49</v>
      </c>
      <c r="E16" s="25">
        <f t="shared" si="9"/>
        <v>2064971.48</v>
      </c>
      <c r="F16" s="24">
        <f t="shared" si="9"/>
        <v>2323226.62</v>
      </c>
      <c r="G16" s="25">
        <f t="shared" si="9"/>
        <v>2641361.0300000003</v>
      </c>
      <c r="H16" s="24">
        <f t="shared" si="9"/>
        <v>3131703.85</v>
      </c>
      <c r="I16" s="25">
        <f t="shared" si="9"/>
        <v>3757742.12</v>
      </c>
      <c r="J16" s="24">
        <f t="shared" si="9"/>
        <v>4611451.57</v>
      </c>
      <c r="K16" s="63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5" customHeight="1" x14ac:dyDescent="0.2">
      <c r="A17" s="23" t="s">
        <v>64</v>
      </c>
      <c r="B17" s="24">
        <f t="shared" ref="B17:J17" si="10">(B9*0.03*8)+B9</f>
        <v>1444699.2</v>
      </c>
      <c r="C17" s="25">
        <f t="shared" si="10"/>
        <v>1779660.4</v>
      </c>
      <c r="D17" s="24">
        <f t="shared" si="10"/>
        <v>1947877.56</v>
      </c>
      <c r="E17" s="25">
        <f t="shared" si="10"/>
        <v>2116169.12</v>
      </c>
      <c r="F17" s="24">
        <f t="shared" si="10"/>
        <v>2380827.2799999998</v>
      </c>
      <c r="G17" s="25">
        <f t="shared" si="10"/>
        <v>2706849.32</v>
      </c>
      <c r="H17" s="24">
        <f t="shared" si="10"/>
        <v>3209349.4</v>
      </c>
      <c r="I17" s="25">
        <f t="shared" si="10"/>
        <v>3850909.2800000003</v>
      </c>
      <c r="J17" s="24">
        <f t="shared" si="10"/>
        <v>4725785.08</v>
      </c>
      <c r="K17" s="63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5" customHeight="1" x14ac:dyDescent="0.2">
      <c r="A18" s="23" t="s">
        <v>65</v>
      </c>
      <c r="B18" s="24">
        <f t="shared" ref="B18:J18" si="11">(B9*0.03*9)+B9</f>
        <v>1479651.6</v>
      </c>
      <c r="C18" s="25">
        <f t="shared" si="11"/>
        <v>1822716.7</v>
      </c>
      <c r="D18" s="24">
        <f t="shared" si="11"/>
        <v>1995003.63</v>
      </c>
      <c r="E18" s="25">
        <f t="shared" si="11"/>
        <v>2167366.7599999998</v>
      </c>
      <c r="F18" s="24">
        <f t="shared" si="11"/>
        <v>2438427.94</v>
      </c>
      <c r="G18" s="25">
        <f t="shared" si="11"/>
        <v>2772337.61</v>
      </c>
      <c r="H18" s="24">
        <f t="shared" si="11"/>
        <v>3286994.95</v>
      </c>
      <c r="I18" s="25">
        <f t="shared" si="11"/>
        <v>3944076.44</v>
      </c>
      <c r="J18" s="24">
        <f t="shared" si="11"/>
        <v>4840118.59</v>
      </c>
      <c r="K18" s="63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15" customHeight="1" x14ac:dyDescent="0.2">
      <c r="A19" s="23" t="s">
        <v>66</v>
      </c>
      <c r="B19" s="24">
        <f t="shared" ref="B19:J19" si="12">(B9*0.03*10)+B9</f>
        <v>1514604</v>
      </c>
      <c r="C19" s="25">
        <f t="shared" si="12"/>
        <v>1865773</v>
      </c>
      <c r="D19" s="24">
        <f t="shared" si="12"/>
        <v>2042129.7</v>
      </c>
      <c r="E19" s="25">
        <f t="shared" si="12"/>
        <v>2218564.4</v>
      </c>
      <c r="F19" s="24">
        <f t="shared" si="12"/>
        <v>2496028.6</v>
      </c>
      <c r="G19" s="25">
        <f t="shared" si="12"/>
        <v>2837825.9</v>
      </c>
      <c r="H19" s="24">
        <f t="shared" si="12"/>
        <v>3364640.5</v>
      </c>
      <c r="I19" s="25">
        <f t="shared" si="12"/>
        <v>4037243.6</v>
      </c>
      <c r="J19" s="24">
        <f t="shared" si="12"/>
        <v>4954452.0999999996</v>
      </c>
      <c r="K19" s="63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15" customHeight="1" x14ac:dyDescent="0.2">
      <c r="A20" s="23" t="s">
        <v>67</v>
      </c>
      <c r="B20" s="24">
        <f t="shared" ref="B20:J20" si="13">(B9*0.03*11)+B9</f>
        <v>1549556.4</v>
      </c>
      <c r="C20" s="25">
        <f t="shared" si="13"/>
        <v>1908829.2999999998</v>
      </c>
      <c r="D20" s="24">
        <f t="shared" si="13"/>
        <v>2089255.77</v>
      </c>
      <c r="E20" s="25">
        <f t="shared" si="13"/>
        <v>2269762.04</v>
      </c>
      <c r="F20" s="24">
        <f t="shared" si="13"/>
        <v>2553629.2599999998</v>
      </c>
      <c r="G20" s="25">
        <f t="shared" si="13"/>
        <v>2903314.19</v>
      </c>
      <c r="H20" s="24">
        <f t="shared" si="13"/>
        <v>3442286.05</v>
      </c>
      <c r="I20" s="25">
        <f t="shared" si="13"/>
        <v>4130410.76</v>
      </c>
      <c r="J20" s="24">
        <f t="shared" si="13"/>
        <v>5068785.6099999994</v>
      </c>
      <c r="K20" s="63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15" customHeight="1" x14ac:dyDescent="0.2">
      <c r="A21" s="23" t="s">
        <v>68</v>
      </c>
      <c r="B21" s="24">
        <f t="shared" ref="B21:J21" si="14">(B9*0.03*12)+B9</f>
        <v>1584508.8</v>
      </c>
      <c r="C21" s="25">
        <f t="shared" si="14"/>
        <v>1951885.6</v>
      </c>
      <c r="D21" s="24">
        <f t="shared" si="14"/>
        <v>2136381.84</v>
      </c>
      <c r="E21" s="25">
        <f t="shared" si="14"/>
        <v>2320959.6799999997</v>
      </c>
      <c r="F21" s="24">
        <f t="shared" si="14"/>
        <v>2611229.92</v>
      </c>
      <c r="G21" s="25">
        <f t="shared" si="14"/>
        <v>2968802.48</v>
      </c>
      <c r="H21" s="24">
        <f t="shared" si="14"/>
        <v>3519931.6</v>
      </c>
      <c r="I21" s="25">
        <f t="shared" si="14"/>
        <v>4223577.92</v>
      </c>
      <c r="J21" s="24">
        <f t="shared" si="14"/>
        <v>5183119.12</v>
      </c>
      <c r="K21" s="63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15" customHeight="1" x14ac:dyDescent="0.2">
      <c r="A22" s="23" t="s">
        <v>69</v>
      </c>
      <c r="B22" s="24">
        <f t="shared" ref="B22:J22" si="15">(B9*0.03*13)+B9</f>
        <v>1619461.2</v>
      </c>
      <c r="C22" s="25">
        <f t="shared" si="15"/>
        <v>1994941.9</v>
      </c>
      <c r="D22" s="24">
        <f t="shared" si="15"/>
        <v>2183507.91</v>
      </c>
      <c r="E22" s="25">
        <f t="shared" si="15"/>
        <v>2372157.3199999998</v>
      </c>
      <c r="F22" s="24">
        <f t="shared" si="15"/>
        <v>2668830.58</v>
      </c>
      <c r="G22" s="25">
        <f t="shared" si="15"/>
        <v>3034290.77</v>
      </c>
      <c r="H22" s="24">
        <f t="shared" si="15"/>
        <v>3597577.15</v>
      </c>
      <c r="I22" s="25">
        <f t="shared" si="15"/>
        <v>4316745.08</v>
      </c>
      <c r="J22" s="24">
        <f t="shared" si="15"/>
        <v>5297452.63</v>
      </c>
      <c r="K22" s="6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15" customHeight="1" x14ac:dyDescent="0.2">
      <c r="A23" s="23" t="s">
        <v>70</v>
      </c>
      <c r="B23" s="24">
        <f t="shared" ref="B23:J23" si="16">(B9*0.03*14)+B9</f>
        <v>1654413.6</v>
      </c>
      <c r="C23" s="25">
        <f t="shared" si="16"/>
        <v>2037998.2</v>
      </c>
      <c r="D23" s="24">
        <f t="shared" si="16"/>
        <v>2230633.98</v>
      </c>
      <c r="E23" s="25">
        <f t="shared" si="16"/>
        <v>2423354.96</v>
      </c>
      <c r="F23" s="24">
        <f t="shared" si="16"/>
        <v>2726431.24</v>
      </c>
      <c r="G23" s="25">
        <f t="shared" si="16"/>
        <v>3099779.06</v>
      </c>
      <c r="H23" s="24">
        <f t="shared" si="16"/>
        <v>3675222.7</v>
      </c>
      <c r="I23" s="25">
        <f t="shared" si="16"/>
        <v>4409912.24</v>
      </c>
      <c r="J23" s="24">
        <f t="shared" si="16"/>
        <v>5411786.1399999997</v>
      </c>
      <c r="K23" s="6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15" customHeight="1" x14ac:dyDescent="0.2">
      <c r="A24" s="23" t="s">
        <v>71</v>
      </c>
      <c r="B24" s="24">
        <f t="shared" ref="B24:J24" si="17">(B9*0.03*15)+B9</f>
        <v>1689366</v>
      </c>
      <c r="C24" s="25">
        <f t="shared" si="17"/>
        <v>2081054.5</v>
      </c>
      <c r="D24" s="24">
        <f t="shared" si="17"/>
        <v>2277760.0499999998</v>
      </c>
      <c r="E24" s="25">
        <f t="shared" si="17"/>
        <v>2474552.6</v>
      </c>
      <c r="F24" s="24">
        <f t="shared" si="17"/>
        <v>2784031.9</v>
      </c>
      <c r="G24" s="25">
        <f t="shared" si="17"/>
        <v>3165267.35</v>
      </c>
      <c r="H24" s="24">
        <f t="shared" si="17"/>
        <v>3752868.25</v>
      </c>
      <c r="I24" s="25">
        <f t="shared" si="17"/>
        <v>4503079.4000000004</v>
      </c>
      <c r="J24" s="24">
        <f t="shared" si="17"/>
        <v>5526119.6500000004</v>
      </c>
      <c r="K24" s="6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5" customHeight="1" x14ac:dyDescent="0.2">
      <c r="A25" s="23" t="s">
        <v>72</v>
      </c>
      <c r="B25" s="24">
        <f t="shared" ref="B25:J25" si="18">(B9*0.03*16)+B9</f>
        <v>1724318.4</v>
      </c>
      <c r="C25" s="25">
        <f t="shared" si="18"/>
        <v>2124110.7999999998</v>
      </c>
      <c r="D25" s="24">
        <f t="shared" si="18"/>
        <v>2324886.12</v>
      </c>
      <c r="E25" s="25">
        <f t="shared" si="18"/>
        <v>2525750.2400000002</v>
      </c>
      <c r="F25" s="24">
        <f t="shared" si="18"/>
        <v>2841632.56</v>
      </c>
      <c r="G25" s="25">
        <f t="shared" si="18"/>
        <v>3230755.64</v>
      </c>
      <c r="H25" s="24">
        <f t="shared" si="18"/>
        <v>3830513.8</v>
      </c>
      <c r="I25" s="25">
        <f t="shared" si="18"/>
        <v>4596246.5600000005</v>
      </c>
      <c r="J25" s="24">
        <f t="shared" si="18"/>
        <v>5640453.1600000001</v>
      </c>
      <c r="K25" s="63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15" customHeight="1" x14ac:dyDescent="0.2">
      <c r="A26" s="23" t="s">
        <v>73</v>
      </c>
      <c r="B26" s="24">
        <f t="shared" ref="B26:J26" si="19">(B9*0.03*17)+B9</f>
        <v>1759270.8</v>
      </c>
      <c r="C26" s="25">
        <f t="shared" si="19"/>
        <v>2167167.1</v>
      </c>
      <c r="D26" s="24">
        <f t="shared" si="19"/>
        <v>2372012.19</v>
      </c>
      <c r="E26" s="25">
        <f t="shared" si="19"/>
        <v>2576947.88</v>
      </c>
      <c r="F26" s="24">
        <f t="shared" si="19"/>
        <v>2899233.2199999997</v>
      </c>
      <c r="G26" s="25">
        <f t="shared" si="19"/>
        <v>3296243.9299999997</v>
      </c>
      <c r="H26" s="24">
        <f t="shared" si="19"/>
        <v>3908159.35</v>
      </c>
      <c r="I26" s="25">
        <f t="shared" si="19"/>
        <v>4689413.72</v>
      </c>
      <c r="J26" s="24">
        <f t="shared" si="19"/>
        <v>5754786.6699999999</v>
      </c>
      <c r="K26" s="63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5" customHeight="1" x14ac:dyDescent="0.2">
      <c r="A27" s="23" t="s">
        <v>74</v>
      </c>
      <c r="B27" s="24">
        <f t="shared" ref="B27:J27" si="20">(B9*0.03*18)+B9</f>
        <v>1794223.2000000002</v>
      </c>
      <c r="C27" s="25">
        <f t="shared" si="20"/>
        <v>2210223.4</v>
      </c>
      <c r="D27" s="24">
        <f t="shared" si="20"/>
        <v>2419138.2599999998</v>
      </c>
      <c r="E27" s="25">
        <f t="shared" si="20"/>
        <v>2628145.52</v>
      </c>
      <c r="F27" s="24">
        <f t="shared" si="20"/>
        <v>2956833.88</v>
      </c>
      <c r="G27" s="25">
        <f t="shared" si="20"/>
        <v>3361732.2199999997</v>
      </c>
      <c r="H27" s="24">
        <f t="shared" si="20"/>
        <v>3985804.9000000004</v>
      </c>
      <c r="I27" s="25">
        <f t="shared" si="20"/>
        <v>4782580.88</v>
      </c>
      <c r="J27" s="24">
        <f t="shared" si="20"/>
        <v>5869120.1799999997</v>
      </c>
      <c r="K27" s="63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15" customHeight="1" x14ac:dyDescent="0.2">
      <c r="A28" s="23" t="s">
        <v>75</v>
      </c>
      <c r="B28" s="24">
        <f t="shared" ref="B28:J28" si="21">(B9*0.03*19)+B9</f>
        <v>1829175.6</v>
      </c>
      <c r="C28" s="25">
        <f t="shared" si="21"/>
        <v>2253279.7000000002</v>
      </c>
      <c r="D28" s="24">
        <f t="shared" si="21"/>
        <v>2466264.33</v>
      </c>
      <c r="E28" s="25">
        <f t="shared" si="21"/>
        <v>2679343.16</v>
      </c>
      <c r="F28" s="24">
        <f t="shared" si="21"/>
        <v>3014434.54</v>
      </c>
      <c r="G28" s="25">
        <f t="shared" si="21"/>
        <v>3427220.51</v>
      </c>
      <c r="H28" s="24">
        <f t="shared" si="21"/>
        <v>4063450.45</v>
      </c>
      <c r="I28" s="25">
        <f t="shared" si="21"/>
        <v>4875748.04</v>
      </c>
      <c r="J28" s="24">
        <f t="shared" si="21"/>
        <v>5983453.6899999995</v>
      </c>
      <c r="K28" s="63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5" customHeight="1" x14ac:dyDescent="0.2">
      <c r="A29" s="23" t="s">
        <v>76</v>
      </c>
      <c r="B29" s="24">
        <f t="shared" ref="B29:J29" si="22">(B9*0.03*20)+B9</f>
        <v>1864128</v>
      </c>
      <c r="C29" s="25">
        <f t="shared" si="22"/>
        <v>2296336</v>
      </c>
      <c r="D29" s="24">
        <f t="shared" si="22"/>
        <v>2513390.4</v>
      </c>
      <c r="E29" s="25">
        <f t="shared" si="22"/>
        <v>2730540.8</v>
      </c>
      <c r="F29" s="24">
        <f t="shared" si="22"/>
        <v>3072035.2</v>
      </c>
      <c r="G29" s="25">
        <f t="shared" si="22"/>
        <v>3492708.8</v>
      </c>
      <c r="H29" s="24">
        <f t="shared" si="22"/>
        <v>4141096</v>
      </c>
      <c r="I29" s="25">
        <f t="shared" si="22"/>
        <v>4968915.2</v>
      </c>
      <c r="J29" s="24">
        <f t="shared" si="22"/>
        <v>6097787.1999999993</v>
      </c>
      <c r="K29" s="63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15" customHeight="1" x14ac:dyDescent="0.2">
      <c r="A30" s="23" t="s">
        <v>77</v>
      </c>
      <c r="B30" s="24">
        <f t="shared" ref="B30:J30" si="23">(B9*0.03*21)+B9</f>
        <v>1899080.4</v>
      </c>
      <c r="C30" s="25">
        <f t="shared" si="23"/>
        <v>2339392.2999999998</v>
      </c>
      <c r="D30" s="24">
        <f t="shared" si="23"/>
        <v>2560516.4699999997</v>
      </c>
      <c r="E30" s="25">
        <f t="shared" si="23"/>
        <v>2781738.44</v>
      </c>
      <c r="F30" s="24">
        <f t="shared" si="23"/>
        <v>3129635.86</v>
      </c>
      <c r="G30" s="25">
        <f t="shared" si="23"/>
        <v>3558197.09</v>
      </c>
      <c r="H30" s="24">
        <f t="shared" si="23"/>
        <v>4218741.55</v>
      </c>
      <c r="I30" s="25">
        <f t="shared" si="23"/>
        <v>5062082.3600000003</v>
      </c>
      <c r="J30" s="24">
        <f t="shared" si="23"/>
        <v>6212120.71</v>
      </c>
      <c r="K30" s="6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15" customHeight="1" x14ac:dyDescent="0.2">
      <c r="A31" s="23" t="s">
        <v>78</v>
      </c>
      <c r="B31" s="24">
        <f t="shared" ref="B31:J31" si="24">(B9*0.03*22)+B9</f>
        <v>1934032.8</v>
      </c>
      <c r="C31" s="25">
        <f t="shared" si="24"/>
        <v>2382448.5999999996</v>
      </c>
      <c r="D31" s="24">
        <f t="shared" si="24"/>
        <v>2607642.54</v>
      </c>
      <c r="E31" s="25">
        <f t="shared" si="24"/>
        <v>2832936.08</v>
      </c>
      <c r="F31" s="24">
        <f t="shared" si="24"/>
        <v>3187236.52</v>
      </c>
      <c r="G31" s="25">
        <f t="shared" si="24"/>
        <v>3623685.38</v>
      </c>
      <c r="H31" s="24">
        <f t="shared" si="24"/>
        <v>4296387.0999999996</v>
      </c>
      <c r="I31" s="25">
        <f t="shared" si="24"/>
        <v>5155249.5199999996</v>
      </c>
      <c r="J31" s="24">
        <f t="shared" si="24"/>
        <v>6326454.2199999997</v>
      </c>
      <c r="K31" s="63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15" customHeight="1" x14ac:dyDescent="0.2">
      <c r="A32" s="23" t="s">
        <v>79</v>
      </c>
      <c r="B32" s="24">
        <f t="shared" ref="B32:J32" si="25">(B9*0.03*23)+B9</f>
        <v>1968985.2000000002</v>
      </c>
      <c r="C32" s="25">
        <f t="shared" si="25"/>
        <v>2425504.9</v>
      </c>
      <c r="D32" s="24">
        <f t="shared" si="25"/>
        <v>2654768.6100000003</v>
      </c>
      <c r="E32" s="25">
        <f t="shared" si="25"/>
        <v>2884133.7199999997</v>
      </c>
      <c r="F32" s="24">
        <f t="shared" si="25"/>
        <v>3244837.1799999997</v>
      </c>
      <c r="G32" s="25">
        <f t="shared" si="25"/>
        <v>3689173.67</v>
      </c>
      <c r="H32" s="24">
        <f t="shared" si="25"/>
        <v>4374032.6500000004</v>
      </c>
      <c r="I32" s="25">
        <f t="shared" si="25"/>
        <v>5248416.68</v>
      </c>
      <c r="J32" s="24">
        <f t="shared" si="25"/>
        <v>6440787.7300000004</v>
      </c>
      <c r="K32" s="63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ht="15" customHeight="1" x14ac:dyDescent="0.2">
      <c r="A33" s="23" t="s">
        <v>80</v>
      </c>
      <c r="B33" s="24">
        <f t="shared" ref="B33:J33" si="26">(B9*0.03*24)+B9</f>
        <v>2003937.6</v>
      </c>
      <c r="C33" s="25">
        <f t="shared" si="26"/>
        <v>2468561.2000000002</v>
      </c>
      <c r="D33" s="24">
        <f t="shared" si="26"/>
        <v>2701894.6799999997</v>
      </c>
      <c r="E33" s="25">
        <f t="shared" si="26"/>
        <v>2935331.36</v>
      </c>
      <c r="F33" s="24">
        <f t="shared" si="26"/>
        <v>3302437.84</v>
      </c>
      <c r="G33" s="25">
        <f t="shared" si="26"/>
        <v>3754661.96</v>
      </c>
      <c r="H33" s="24">
        <f t="shared" si="26"/>
        <v>4451678.2</v>
      </c>
      <c r="I33" s="25">
        <f t="shared" si="26"/>
        <v>5341583.84</v>
      </c>
      <c r="J33" s="24">
        <f t="shared" si="26"/>
        <v>6555121.2400000002</v>
      </c>
      <c r="K33" s="6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ht="15" customHeight="1" x14ac:dyDescent="0.2">
      <c r="A34" s="23" t="s">
        <v>81</v>
      </c>
      <c r="B34" s="24">
        <f t="shared" ref="B34:J34" si="27">(B9*0.03*25)+B9</f>
        <v>2038890</v>
      </c>
      <c r="C34" s="25">
        <f t="shared" si="27"/>
        <v>2511617.5</v>
      </c>
      <c r="D34" s="24">
        <f t="shared" si="27"/>
        <v>2749020.75</v>
      </c>
      <c r="E34" s="25">
        <f t="shared" si="27"/>
        <v>2986529</v>
      </c>
      <c r="F34" s="24">
        <f t="shared" si="27"/>
        <v>3360038.5</v>
      </c>
      <c r="G34" s="25">
        <f t="shared" si="27"/>
        <v>3820150.25</v>
      </c>
      <c r="H34" s="24">
        <f t="shared" si="27"/>
        <v>4529323.75</v>
      </c>
      <c r="I34" s="25">
        <f t="shared" si="27"/>
        <v>5434751</v>
      </c>
      <c r="J34" s="24">
        <f t="shared" si="27"/>
        <v>6669454.75</v>
      </c>
      <c r="K34" s="63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</sheetData>
  <printOptions horizontalCentered="1" verticalCentered="1"/>
  <pageMargins left="0.78749999999999998" right="0.78749999999999998" top="0.78749999999999998" bottom="0.196527777777778" header="0.51180555555555496" footer="0.51180555555555496"/>
  <pageSetup paperSize="0" scale="0" firstPageNumber="0" orientation="portrait" usePrinterDefaults="0" horizontalDpi="0" verticalDpi="0" copies="0"/>
  <headerFooter>
    <oddHeader>&amp;C&amp;"Comic Sans MS,Fett"&amp;12Gehaltstabellen von  01.07.1999 bis 31.01.2000 / Tabelle stipendiali dal 1.7.1999 al 31.01.2000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"/>
  <sheetViews>
    <sheetView zoomScaleNormal="100" workbookViewId="0">
      <selection activeCell="J37" sqref="J37"/>
    </sheetView>
  </sheetViews>
  <sheetFormatPr baseColWidth="10" defaultColWidth="9.140625" defaultRowHeight="12.75" x14ac:dyDescent="0.2"/>
  <cols>
    <col min="1" max="1" width="23.5703125"/>
    <col min="2" max="2" width="16.140625"/>
    <col min="3" max="10" width="14.42578125"/>
    <col min="11" max="11" width="11.28515625"/>
    <col min="12" max="256" width="11"/>
    <col min="257" max="1025" width="11.5703125"/>
  </cols>
  <sheetData>
    <row r="1" spans="1:256" ht="15" customHeight="1" x14ac:dyDescent="0.25">
      <c r="A1" s="39"/>
      <c r="B1" s="9" t="s">
        <v>44</v>
      </c>
      <c r="C1" s="40" t="s">
        <v>45</v>
      </c>
      <c r="D1" s="9" t="s">
        <v>46</v>
      </c>
      <c r="E1" s="40" t="s">
        <v>47</v>
      </c>
      <c r="F1" s="9" t="s">
        <v>48</v>
      </c>
      <c r="G1" s="40" t="s">
        <v>49</v>
      </c>
      <c r="H1" s="9" t="s">
        <v>50</v>
      </c>
      <c r="I1" s="40" t="s">
        <v>51</v>
      </c>
      <c r="J1" s="9" t="s">
        <v>52</v>
      </c>
      <c r="K1" s="73"/>
      <c r="L1" s="71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15" customHeight="1" x14ac:dyDescent="0.2">
      <c r="A2" s="13" t="s">
        <v>10</v>
      </c>
      <c r="B2" s="14"/>
      <c r="C2" s="15"/>
      <c r="D2" s="14"/>
      <c r="E2" s="15"/>
      <c r="F2" s="14"/>
      <c r="G2" s="15"/>
      <c r="H2" s="14"/>
      <c r="I2" s="15"/>
      <c r="J2" s="14"/>
      <c r="K2" s="74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</row>
    <row r="3" spans="1:256" ht="15" customHeight="1" x14ac:dyDescent="0.25">
      <c r="A3" s="18" t="s">
        <v>11</v>
      </c>
      <c r="B3" s="19">
        <v>915153</v>
      </c>
      <c r="C3" s="20">
        <v>1126060</v>
      </c>
      <c r="D3" s="19">
        <v>1223630</v>
      </c>
      <c r="E3" s="20">
        <v>1321199</v>
      </c>
      <c r="F3" s="19">
        <v>1487241</v>
      </c>
      <c r="G3" s="20">
        <v>1659353</v>
      </c>
      <c r="H3" s="19">
        <v>1968440</v>
      </c>
      <c r="I3" s="20">
        <v>2404773</v>
      </c>
      <c r="J3" s="19">
        <v>2872643</v>
      </c>
      <c r="K3" s="75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ht="15" customHeight="1" x14ac:dyDescent="0.2">
      <c r="A4" s="23" t="s">
        <v>53</v>
      </c>
      <c r="B4" s="24">
        <v>970062</v>
      </c>
      <c r="C4" s="25">
        <v>1193624</v>
      </c>
      <c r="D4" s="24">
        <v>1297048</v>
      </c>
      <c r="E4" s="25">
        <v>1400471</v>
      </c>
      <c r="F4" s="24">
        <v>1576475</v>
      </c>
      <c r="G4" s="25">
        <v>1758914</v>
      </c>
      <c r="H4" s="24">
        <v>2086546</v>
      </c>
      <c r="I4" s="25">
        <v>2549059</v>
      </c>
      <c r="J4" s="24">
        <v>3045002</v>
      </c>
      <c r="K4" s="76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</row>
    <row r="5" spans="1:256" ht="15" customHeight="1" x14ac:dyDescent="0.2">
      <c r="A5" s="23" t="s">
        <v>54</v>
      </c>
      <c r="B5" s="24">
        <v>1024971</v>
      </c>
      <c r="C5" s="25">
        <v>1261187</v>
      </c>
      <c r="D5" s="24">
        <v>1370466</v>
      </c>
      <c r="E5" s="25">
        <v>1479743</v>
      </c>
      <c r="F5" s="24">
        <v>1665710</v>
      </c>
      <c r="G5" s="25">
        <v>1858475</v>
      </c>
      <c r="H5" s="24">
        <v>2204653</v>
      </c>
      <c r="I5" s="25">
        <v>2693346</v>
      </c>
      <c r="J5" s="24">
        <v>3217360</v>
      </c>
      <c r="K5" s="63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15" customHeight="1" x14ac:dyDescent="0.2">
      <c r="A6" s="23" t="s">
        <v>55</v>
      </c>
      <c r="B6" s="24">
        <v>1079881</v>
      </c>
      <c r="C6" s="25">
        <v>1328751</v>
      </c>
      <c r="D6" s="24">
        <v>1443883</v>
      </c>
      <c r="E6" s="25">
        <v>1559015</v>
      </c>
      <c r="F6" s="24">
        <v>1754944</v>
      </c>
      <c r="G6" s="25">
        <v>1958037</v>
      </c>
      <c r="H6" s="24">
        <v>2322759</v>
      </c>
      <c r="I6" s="25">
        <v>2837632</v>
      </c>
      <c r="J6" s="24">
        <v>3389719</v>
      </c>
      <c r="K6" s="63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15" customHeight="1" x14ac:dyDescent="0.2">
      <c r="A7" s="22"/>
      <c r="B7" s="37"/>
      <c r="C7" s="38"/>
      <c r="D7" s="37"/>
      <c r="E7" s="38"/>
      <c r="F7" s="37"/>
      <c r="G7" s="38"/>
      <c r="H7" s="37"/>
      <c r="I7" s="38"/>
      <c r="J7" s="37"/>
      <c r="K7" s="63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ht="15" customHeight="1" x14ac:dyDescent="0.2">
      <c r="A8" s="12" t="s">
        <v>56</v>
      </c>
      <c r="B8" s="44"/>
      <c r="C8" s="45"/>
      <c r="D8" s="44"/>
      <c r="E8" s="45"/>
      <c r="F8" s="44"/>
      <c r="G8" s="45"/>
      <c r="H8" s="44"/>
      <c r="I8" s="45"/>
      <c r="J8" s="44"/>
      <c r="K8" s="74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</row>
    <row r="9" spans="1:256" ht="15" customHeight="1" x14ac:dyDescent="0.25">
      <c r="A9" s="18" t="s">
        <v>11</v>
      </c>
      <c r="B9" s="19">
        <v>1170926</v>
      </c>
      <c r="C9" s="20">
        <v>1442406</v>
      </c>
      <c r="D9" s="19">
        <v>1578741</v>
      </c>
      <c r="E9" s="20">
        <v>1715137</v>
      </c>
      <c r="F9" s="19">
        <v>1929644</v>
      </c>
      <c r="G9" s="20">
        <v>2193865</v>
      </c>
      <c r="H9" s="19">
        <v>2601132</v>
      </c>
      <c r="I9" s="20">
        <v>3121126</v>
      </c>
      <c r="J9" s="19">
        <v>3830190</v>
      </c>
      <c r="K9" s="75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 ht="15" customHeight="1" x14ac:dyDescent="0.2">
      <c r="A10" s="23" t="s">
        <v>57</v>
      </c>
      <c r="B10" s="24">
        <v>1206054</v>
      </c>
      <c r="C10" s="25">
        <v>1485678</v>
      </c>
      <c r="D10" s="24">
        <v>1626103</v>
      </c>
      <c r="E10" s="25">
        <v>1766591</v>
      </c>
      <c r="F10" s="24">
        <v>1987533</v>
      </c>
      <c r="G10" s="25">
        <v>2259681</v>
      </c>
      <c r="H10" s="24">
        <v>2679166</v>
      </c>
      <c r="I10" s="25">
        <v>3214760</v>
      </c>
      <c r="J10" s="24">
        <v>3945096</v>
      </c>
      <c r="K10" s="63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ht="15" customHeight="1" x14ac:dyDescent="0.2">
      <c r="A11" s="23" t="s">
        <v>58</v>
      </c>
      <c r="B11" s="24">
        <v>1241182</v>
      </c>
      <c r="C11" s="25">
        <v>1528950</v>
      </c>
      <c r="D11" s="24">
        <v>1673465</v>
      </c>
      <c r="E11" s="25">
        <v>1818045</v>
      </c>
      <c r="F11" s="24">
        <v>2045423</v>
      </c>
      <c r="G11" s="25">
        <v>2325497</v>
      </c>
      <c r="H11" s="24">
        <v>2757200</v>
      </c>
      <c r="I11" s="25">
        <v>3308394</v>
      </c>
      <c r="J11" s="24">
        <v>4060001</v>
      </c>
      <c r="K11" s="63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" customHeight="1" x14ac:dyDescent="0.2">
      <c r="A12" s="23" t="s">
        <v>59</v>
      </c>
      <c r="B12" s="24">
        <v>1276309</v>
      </c>
      <c r="C12" s="25">
        <v>1572223</v>
      </c>
      <c r="D12" s="24">
        <v>1720828</v>
      </c>
      <c r="E12" s="25">
        <v>1869499</v>
      </c>
      <c r="F12" s="24">
        <v>2103312</v>
      </c>
      <c r="G12" s="25">
        <v>2391313</v>
      </c>
      <c r="H12" s="24">
        <v>2835234</v>
      </c>
      <c r="I12" s="25">
        <v>3402027</v>
      </c>
      <c r="J12" s="24">
        <v>4174907</v>
      </c>
      <c r="K12" s="6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ht="15" customHeight="1" x14ac:dyDescent="0.2">
      <c r="A13" s="23" t="s">
        <v>60</v>
      </c>
      <c r="B13" s="24">
        <v>1311437</v>
      </c>
      <c r="C13" s="25">
        <v>1615495</v>
      </c>
      <c r="D13" s="24">
        <v>1768190</v>
      </c>
      <c r="E13" s="25">
        <v>1920953</v>
      </c>
      <c r="F13" s="24">
        <v>2161201</v>
      </c>
      <c r="G13" s="25">
        <v>2457129</v>
      </c>
      <c r="H13" s="24">
        <v>2913268</v>
      </c>
      <c r="I13" s="25">
        <v>3495661</v>
      </c>
      <c r="J13" s="24">
        <v>4289813</v>
      </c>
      <c r="K13" s="63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15" customHeight="1" x14ac:dyDescent="0.2">
      <c r="A14" s="23" t="s">
        <v>61</v>
      </c>
      <c r="B14" s="24">
        <v>1346565</v>
      </c>
      <c r="C14" s="25">
        <v>1658767</v>
      </c>
      <c r="D14" s="24">
        <v>1815552</v>
      </c>
      <c r="E14" s="25">
        <v>1972408</v>
      </c>
      <c r="F14" s="24">
        <v>2219091</v>
      </c>
      <c r="G14" s="25">
        <v>2522945</v>
      </c>
      <c r="H14" s="24">
        <v>2991302</v>
      </c>
      <c r="I14" s="25">
        <v>3589295</v>
      </c>
      <c r="J14" s="24">
        <v>4404719</v>
      </c>
      <c r="K14" s="6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5" customHeight="1" x14ac:dyDescent="0.2">
      <c r="A15" s="23" t="s">
        <v>62</v>
      </c>
      <c r="B15" s="24">
        <v>1381693</v>
      </c>
      <c r="C15" s="25">
        <v>1702039</v>
      </c>
      <c r="D15" s="24">
        <v>1862914</v>
      </c>
      <c r="E15" s="25">
        <v>2023862</v>
      </c>
      <c r="F15" s="24">
        <v>2276980</v>
      </c>
      <c r="G15" s="25">
        <v>2588761</v>
      </c>
      <c r="H15" s="24">
        <v>3069336</v>
      </c>
      <c r="I15" s="25">
        <v>3682929</v>
      </c>
      <c r="J15" s="24">
        <v>4519624</v>
      </c>
      <c r="K15" s="63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15" customHeight="1" x14ac:dyDescent="0.2">
      <c r="A16" s="23" t="s">
        <v>63</v>
      </c>
      <c r="B16" s="24">
        <v>1416820</v>
      </c>
      <c r="C16" s="25">
        <v>1745311</v>
      </c>
      <c r="D16" s="24">
        <v>1910277</v>
      </c>
      <c r="E16" s="25">
        <v>2075316</v>
      </c>
      <c r="F16" s="24">
        <v>2334869</v>
      </c>
      <c r="G16" s="25">
        <v>2654577</v>
      </c>
      <c r="H16" s="24">
        <v>3147370</v>
      </c>
      <c r="I16" s="25">
        <v>3776562</v>
      </c>
      <c r="J16" s="24">
        <v>4634530</v>
      </c>
      <c r="K16" s="63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5" customHeight="1" x14ac:dyDescent="0.2">
      <c r="A17" s="23" t="s">
        <v>64</v>
      </c>
      <c r="B17" s="24">
        <v>1451948</v>
      </c>
      <c r="C17" s="25">
        <v>1788583</v>
      </c>
      <c r="D17" s="24">
        <v>1957639</v>
      </c>
      <c r="E17" s="25">
        <v>2126770</v>
      </c>
      <c r="F17" s="24">
        <v>2392759</v>
      </c>
      <c r="G17" s="25">
        <v>2720393</v>
      </c>
      <c r="H17" s="24">
        <v>3225404</v>
      </c>
      <c r="I17" s="25">
        <v>3870196</v>
      </c>
      <c r="J17" s="24">
        <v>4749436</v>
      </c>
      <c r="K17" s="63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5" customHeight="1" x14ac:dyDescent="0.2">
      <c r="A18" s="23" t="s">
        <v>65</v>
      </c>
      <c r="B18" s="24">
        <v>1487076</v>
      </c>
      <c r="C18" s="25">
        <v>1831856</v>
      </c>
      <c r="D18" s="24">
        <v>2005001</v>
      </c>
      <c r="E18" s="25">
        <v>2178224</v>
      </c>
      <c r="F18" s="24">
        <v>2450648</v>
      </c>
      <c r="G18" s="25">
        <v>2786209</v>
      </c>
      <c r="H18" s="24">
        <v>3303438</v>
      </c>
      <c r="I18" s="25">
        <v>3963830</v>
      </c>
      <c r="J18" s="24">
        <v>4864341</v>
      </c>
      <c r="K18" s="63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15" customHeight="1" x14ac:dyDescent="0.2">
      <c r="A19" s="23" t="s">
        <v>66</v>
      </c>
      <c r="B19" s="24">
        <v>1522204</v>
      </c>
      <c r="C19" s="25">
        <v>1875128</v>
      </c>
      <c r="D19" s="24">
        <v>2052363</v>
      </c>
      <c r="E19" s="25">
        <v>2229678</v>
      </c>
      <c r="F19" s="24">
        <v>2508537</v>
      </c>
      <c r="G19" s="25">
        <v>2852025</v>
      </c>
      <c r="H19" s="24">
        <v>3381472</v>
      </c>
      <c r="I19" s="25">
        <v>4057464</v>
      </c>
      <c r="J19" s="24">
        <v>4979247</v>
      </c>
      <c r="K19" s="63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15" customHeight="1" x14ac:dyDescent="0.2">
      <c r="A20" s="23" t="s">
        <v>67</v>
      </c>
      <c r="B20" s="24">
        <v>1557332</v>
      </c>
      <c r="C20" s="25">
        <v>1918400</v>
      </c>
      <c r="D20" s="24">
        <v>2099726</v>
      </c>
      <c r="E20" s="25">
        <v>2281132</v>
      </c>
      <c r="F20" s="24">
        <v>2566427</v>
      </c>
      <c r="G20" s="25">
        <v>2917840</v>
      </c>
      <c r="H20" s="24">
        <v>3459506</v>
      </c>
      <c r="I20" s="25">
        <v>4151098</v>
      </c>
      <c r="J20" s="24">
        <v>5094153</v>
      </c>
      <c r="K20" s="63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15" customHeight="1" x14ac:dyDescent="0.2">
      <c r="A21" s="23" t="s">
        <v>68</v>
      </c>
      <c r="B21" s="24">
        <v>1592459</v>
      </c>
      <c r="C21" s="25">
        <v>1961672</v>
      </c>
      <c r="D21" s="24">
        <v>2147088</v>
      </c>
      <c r="E21" s="25">
        <v>2332586</v>
      </c>
      <c r="F21" s="24">
        <v>2624316</v>
      </c>
      <c r="G21" s="25">
        <v>2983656</v>
      </c>
      <c r="H21" s="24">
        <v>3537540</v>
      </c>
      <c r="I21" s="25">
        <v>4244731</v>
      </c>
      <c r="J21" s="24">
        <v>5209058</v>
      </c>
      <c r="K21" s="63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15" customHeight="1" x14ac:dyDescent="0.2">
      <c r="A22" s="23" t="s">
        <v>69</v>
      </c>
      <c r="B22" s="24">
        <v>1627587</v>
      </c>
      <c r="C22" s="25">
        <v>2004944</v>
      </c>
      <c r="D22" s="24">
        <v>2194450</v>
      </c>
      <c r="E22" s="25">
        <v>2384040</v>
      </c>
      <c r="F22" s="24">
        <v>2682205</v>
      </c>
      <c r="G22" s="25">
        <v>3049472</v>
      </c>
      <c r="H22" s="24">
        <v>3615573</v>
      </c>
      <c r="I22" s="25">
        <v>4338365</v>
      </c>
      <c r="J22" s="24">
        <v>5323964</v>
      </c>
      <c r="K22" s="6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15" customHeight="1" x14ac:dyDescent="0.2">
      <c r="A23" s="23" t="s">
        <v>70</v>
      </c>
      <c r="B23" s="24">
        <v>1662715</v>
      </c>
      <c r="C23" s="25">
        <v>2048217</v>
      </c>
      <c r="D23" s="24">
        <v>2241812</v>
      </c>
      <c r="E23" s="25">
        <v>2435495</v>
      </c>
      <c r="F23" s="24">
        <v>2740094</v>
      </c>
      <c r="G23" s="25">
        <v>3115288</v>
      </c>
      <c r="H23" s="24">
        <v>3693607</v>
      </c>
      <c r="I23" s="25">
        <v>4431999</v>
      </c>
      <c r="J23" s="24">
        <v>5438870</v>
      </c>
      <c r="K23" s="6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15" customHeight="1" x14ac:dyDescent="0.2">
      <c r="A24" s="23" t="s">
        <v>71</v>
      </c>
      <c r="B24" s="24">
        <v>1697843</v>
      </c>
      <c r="C24" s="25">
        <v>2091489</v>
      </c>
      <c r="D24" s="24">
        <v>2289174</v>
      </c>
      <c r="E24" s="25">
        <v>2486949</v>
      </c>
      <c r="F24" s="24">
        <v>2797984</v>
      </c>
      <c r="G24" s="25">
        <v>3181104</v>
      </c>
      <c r="H24" s="24">
        <v>3771641</v>
      </c>
      <c r="I24" s="25">
        <v>4525633</v>
      </c>
      <c r="J24" s="24">
        <v>5553776</v>
      </c>
      <c r="K24" s="6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5" customHeight="1" x14ac:dyDescent="0.2">
      <c r="A25" s="23" t="s">
        <v>72</v>
      </c>
      <c r="B25" s="24">
        <v>1732970</v>
      </c>
      <c r="C25" s="25">
        <v>2134761</v>
      </c>
      <c r="D25" s="24">
        <v>2336537</v>
      </c>
      <c r="E25" s="25">
        <v>2538403</v>
      </c>
      <c r="F25" s="24">
        <v>2855873</v>
      </c>
      <c r="G25" s="25">
        <v>3246920</v>
      </c>
      <c r="H25" s="24">
        <v>3849675</v>
      </c>
      <c r="I25" s="25">
        <v>4619266</v>
      </c>
      <c r="J25" s="24">
        <v>5668681</v>
      </c>
      <c r="K25" s="63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15" customHeight="1" x14ac:dyDescent="0.2">
      <c r="A26" s="23" t="s">
        <v>73</v>
      </c>
      <c r="B26" s="24">
        <v>1768098</v>
      </c>
      <c r="C26" s="25">
        <v>2178033</v>
      </c>
      <c r="D26" s="24">
        <v>2383899</v>
      </c>
      <c r="E26" s="25">
        <v>2589857</v>
      </c>
      <c r="F26" s="24">
        <v>2913762</v>
      </c>
      <c r="G26" s="25">
        <v>3312736</v>
      </c>
      <c r="H26" s="24">
        <v>3927709</v>
      </c>
      <c r="I26" s="25">
        <v>4712900</v>
      </c>
      <c r="J26" s="24">
        <v>5783587</v>
      </c>
      <c r="K26" s="63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5" customHeight="1" x14ac:dyDescent="0.2">
      <c r="A27" s="23" t="s">
        <v>74</v>
      </c>
      <c r="B27" s="24">
        <v>1803226</v>
      </c>
      <c r="C27" s="25">
        <v>2221305</v>
      </c>
      <c r="D27" s="24">
        <v>2431261</v>
      </c>
      <c r="E27" s="25">
        <v>2641311</v>
      </c>
      <c r="F27" s="24">
        <v>2971652</v>
      </c>
      <c r="G27" s="25">
        <v>3378552</v>
      </c>
      <c r="H27" s="24">
        <v>4005743</v>
      </c>
      <c r="I27" s="25">
        <v>4806534</v>
      </c>
      <c r="J27" s="24">
        <v>5898493</v>
      </c>
      <c r="K27" s="63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15" customHeight="1" x14ac:dyDescent="0.2">
      <c r="A28" s="23" t="s">
        <v>75</v>
      </c>
      <c r="B28" s="24">
        <v>1838354</v>
      </c>
      <c r="C28" s="25">
        <v>2264577</v>
      </c>
      <c r="D28" s="24">
        <v>2478623</v>
      </c>
      <c r="E28" s="25">
        <v>2692765</v>
      </c>
      <c r="F28" s="24">
        <v>3029541</v>
      </c>
      <c r="G28" s="25">
        <v>3444368</v>
      </c>
      <c r="H28" s="24">
        <v>4083777</v>
      </c>
      <c r="I28" s="25">
        <v>4900168</v>
      </c>
      <c r="J28" s="24">
        <v>6013398</v>
      </c>
      <c r="K28" s="63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5" customHeight="1" x14ac:dyDescent="0.2">
      <c r="A29" s="23" t="s">
        <v>76</v>
      </c>
      <c r="B29" s="24">
        <v>1873482</v>
      </c>
      <c r="C29" s="25">
        <v>2307850</v>
      </c>
      <c r="D29" s="24">
        <v>2525986</v>
      </c>
      <c r="E29" s="25">
        <v>2744219</v>
      </c>
      <c r="F29" s="24">
        <v>3087430</v>
      </c>
      <c r="G29" s="25">
        <v>3510184</v>
      </c>
      <c r="H29" s="24">
        <v>4161811</v>
      </c>
      <c r="I29" s="25">
        <v>4993802</v>
      </c>
      <c r="J29" s="24">
        <v>6128304</v>
      </c>
      <c r="K29" s="63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15" customHeight="1" x14ac:dyDescent="0.2">
      <c r="A30" s="23" t="s">
        <v>77</v>
      </c>
      <c r="B30" s="24">
        <v>1908609</v>
      </c>
      <c r="C30" s="25">
        <v>2351122</v>
      </c>
      <c r="D30" s="24">
        <v>2573348</v>
      </c>
      <c r="E30" s="25">
        <v>2795673</v>
      </c>
      <c r="F30" s="24">
        <v>3145320</v>
      </c>
      <c r="G30" s="25">
        <v>3576000</v>
      </c>
      <c r="H30" s="24">
        <v>4239845</v>
      </c>
      <c r="I30" s="25">
        <v>5087435</v>
      </c>
      <c r="J30" s="24">
        <v>6243210</v>
      </c>
      <c r="K30" s="6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15" customHeight="1" x14ac:dyDescent="0.2">
      <c r="A31" s="23" t="s">
        <v>78</v>
      </c>
      <c r="B31" s="24">
        <v>1943737</v>
      </c>
      <c r="C31" s="25">
        <v>2394394</v>
      </c>
      <c r="D31" s="24">
        <v>2620710</v>
      </c>
      <c r="E31" s="25">
        <v>2847127</v>
      </c>
      <c r="F31" s="24">
        <v>3203209</v>
      </c>
      <c r="G31" s="25">
        <v>3641816</v>
      </c>
      <c r="H31" s="24">
        <v>4317879</v>
      </c>
      <c r="I31" s="25">
        <v>5181069</v>
      </c>
      <c r="J31" s="24">
        <v>6358115</v>
      </c>
      <c r="K31" s="63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15" customHeight="1" x14ac:dyDescent="0.2">
      <c r="A32" s="23" t="s">
        <v>79</v>
      </c>
      <c r="B32" s="24">
        <v>1978865</v>
      </c>
      <c r="C32" s="25">
        <v>2437666</v>
      </c>
      <c r="D32" s="24">
        <v>2668072</v>
      </c>
      <c r="E32" s="25">
        <v>2898582</v>
      </c>
      <c r="F32" s="24">
        <v>3261098</v>
      </c>
      <c r="G32" s="25">
        <v>3707632</v>
      </c>
      <c r="H32" s="24">
        <v>4395913</v>
      </c>
      <c r="I32" s="25">
        <v>5274703</v>
      </c>
      <c r="J32" s="24">
        <v>6473021</v>
      </c>
      <c r="K32" s="63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ht="15" customHeight="1" x14ac:dyDescent="0.2">
      <c r="A33" s="23" t="s">
        <v>80</v>
      </c>
      <c r="B33" s="24">
        <v>2013993</v>
      </c>
      <c r="C33" s="25">
        <v>2480938</v>
      </c>
      <c r="D33" s="24">
        <v>2715435</v>
      </c>
      <c r="E33" s="25">
        <v>2950036</v>
      </c>
      <c r="F33" s="24">
        <v>3318988</v>
      </c>
      <c r="G33" s="25">
        <v>3773448</v>
      </c>
      <c r="H33" s="24">
        <v>4473947</v>
      </c>
      <c r="I33" s="25">
        <v>5368337</v>
      </c>
      <c r="J33" s="24">
        <v>6587927</v>
      </c>
      <c r="K33" s="6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ht="15" customHeight="1" x14ac:dyDescent="0.2">
      <c r="A34" s="23" t="s">
        <v>81</v>
      </c>
      <c r="B34" s="24">
        <v>2049121</v>
      </c>
      <c r="C34" s="25">
        <v>2524211</v>
      </c>
      <c r="D34" s="24">
        <v>2762797</v>
      </c>
      <c r="E34" s="25">
        <v>3001490</v>
      </c>
      <c r="F34" s="24">
        <v>3376877</v>
      </c>
      <c r="G34" s="25">
        <v>3839264</v>
      </c>
      <c r="H34" s="24">
        <v>4551981</v>
      </c>
      <c r="I34" s="25">
        <v>5461971</v>
      </c>
      <c r="J34" s="24">
        <v>6702833</v>
      </c>
      <c r="K34" s="63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</sheetData>
  <printOptions horizontalCentered="1" verticalCentered="1"/>
  <pageMargins left="0.4" right="0.29027777777777802" top="0.64027777777777795" bottom="0.45972222222222198" header="0.25" footer="0.51180555555555496"/>
  <pageSetup paperSize="0" scale="0" firstPageNumber="0" orientation="portrait" usePrinterDefaults="0" horizontalDpi="0" verticalDpi="0" copies="0"/>
  <headerFooter>
    <oddHeader>&amp;C&amp;"Comic Sans MS,Fett"Gehaltstabellen von 01.02.2000 bis 30.06.2001 / Tabelle stipendiali dal 01.02.2000 al 30.06.2001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"/>
  <sheetViews>
    <sheetView zoomScaleNormal="100" workbookViewId="0">
      <selection activeCell="J9" sqref="J9"/>
    </sheetView>
  </sheetViews>
  <sheetFormatPr baseColWidth="10" defaultColWidth="9.140625" defaultRowHeight="12.75" x14ac:dyDescent="0.2"/>
  <cols>
    <col min="1" max="1" width="31.28515625"/>
    <col min="2" max="10" width="15.5703125"/>
    <col min="11" max="256" width="11.28515625"/>
    <col min="257" max="1025" width="11.5703125"/>
  </cols>
  <sheetData>
    <row r="1" spans="1:256" ht="15.95" customHeight="1" x14ac:dyDescent="0.25">
      <c r="A1" s="77"/>
      <c r="B1" s="9" t="s">
        <v>44</v>
      </c>
      <c r="C1" s="40" t="s">
        <v>45</v>
      </c>
      <c r="D1" s="9" t="s">
        <v>46</v>
      </c>
      <c r="E1" s="40" t="s">
        <v>47</v>
      </c>
      <c r="F1" s="9" t="s">
        <v>48</v>
      </c>
      <c r="G1" s="40" t="s">
        <v>49</v>
      </c>
      <c r="H1" s="9" t="s">
        <v>50</v>
      </c>
      <c r="I1" s="40" t="s">
        <v>51</v>
      </c>
      <c r="J1" s="9" t="s">
        <v>52</v>
      </c>
      <c r="K1" s="78"/>
      <c r="L1" s="79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</row>
    <row r="2" spans="1:256" ht="15.95" customHeight="1" x14ac:dyDescent="0.2">
      <c r="A2" s="13" t="s">
        <v>10</v>
      </c>
      <c r="B2" s="14"/>
      <c r="C2" s="15"/>
      <c r="D2" s="81"/>
      <c r="E2" s="82"/>
      <c r="F2" s="81"/>
      <c r="G2" s="82"/>
      <c r="H2" s="81"/>
      <c r="I2" s="82"/>
      <c r="J2" s="81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</row>
    <row r="3" spans="1:256" ht="15.95" customHeight="1" x14ac:dyDescent="0.25">
      <c r="A3" s="84" t="s">
        <v>86</v>
      </c>
      <c r="B3" s="47">
        <f>915153/1936.27</f>
        <v>472.63708057244082</v>
      </c>
      <c r="C3" s="48">
        <f>1126060/1936.27</f>
        <v>581.56145578870712</v>
      </c>
      <c r="D3" s="47">
        <f>1223630/1936.27</f>
        <v>631.95215543286838</v>
      </c>
      <c r="E3" s="48">
        <f>1321199/1936.27</f>
        <v>682.34233862013048</v>
      </c>
      <c r="F3" s="47">
        <f>1487241/1936.27</f>
        <v>768.09587505874697</v>
      </c>
      <c r="G3" s="48">
        <f>1659353/1936.27</f>
        <v>856.98430487483665</v>
      </c>
      <c r="H3" s="47">
        <f>1968440/1936.27</f>
        <v>1016.6144184437088</v>
      </c>
      <c r="I3" s="48">
        <f>2404773/1936.27</f>
        <v>1241.9616065941218</v>
      </c>
      <c r="J3" s="47">
        <f>2872643/1936.27</f>
        <v>1483.5962959711198</v>
      </c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</row>
    <row r="4" spans="1:256" ht="15.95" customHeight="1" x14ac:dyDescent="0.25">
      <c r="A4" s="23" t="s">
        <v>53</v>
      </c>
      <c r="B4" s="86">
        <f>$B$3*0.06</f>
        <v>28.358224834346448</v>
      </c>
      <c r="C4" s="87">
        <f t="shared" ref="C4:J4" si="0">C3*0.06</f>
        <v>34.893687347322427</v>
      </c>
      <c r="D4" s="86">
        <f t="shared" si="0"/>
        <v>37.917129325972098</v>
      </c>
      <c r="E4" s="87">
        <f t="shared" si="0"/>
        <v>40.940540317207827</v>
      </c>
      <c r="F4" s="86">
        <f t="shared" si="0"/>
        <v>46.085752503524816</v>
      </c>
      <c r="G4" s="87">
        <f t="shared" si="0"/>
        <v>51.419058292490199</v>
      </c>
      <c r="H4" s="86">
        <f t="shared" si="0"/>
        <v>60.996865106622529</v>
      </c>
      <c r="I4" s="87">
        <f t="shared" si="0"/>
        <v>74.517696395647306</v>
      </c>
      <c r="J4" s="86">
        <f t="shared" si="0"/>
        <v>89.015777758267191</v>
      </c>
      <c r="K4" s="88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</row>
    <row r="5" spans="1:256" ht="15.95" customHeight="1" x14ac:dyDescent="0.25">
      <c r="A5" s="23" t="s">
        <v>54</v>
      </c>
      <c r="B5" s="86">
        <f t="shared" ref="B5:J5" si="1">B3*0.06*2</f>
        <v>56.716449668692896</v>
      </c>
      <c r="C5" s="87">
        <f t="shared" si="1"/>
        <v>69.787374694644853</v>
      </c>
      <c r="D5" s="86">
        <f t="shared" si="1"/>
        <v>75.834258651944197</v>
      </c>
      <c r="E5" s="87">
        <f t="shared" si="1"/>
        <v>81.881080634415653</v>
      </c>
      <c r="F5" s="86">
        <f t="shared" si="1"/>
        <v>92.171505007049632</v>
      </c>
      <c r="G5" s="87">
        <f t="shared" si="1"/>
        <v>102.8381165849804</v>
      </c>
      <c r="H5" s="86">
        <f t="shared" si="1"/>
        <v>121.99373021324506</v>
      </c>
      <c r="I5" s="87">
        <f t="shared" si="1"/>
        <v>149.03539279129461</v>
      </c>
      <c r="J5" s="86">
        <f t="shared" si="1"/>
        <v>178.03155551653438</v>
      </c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</row>
    <row r="6" spans="1:256" ht="15.95" customHeight="1" x14ac:dyDescent="0.25">
      <c r="A6" s="23" t="s">
        <v>55</v>
      </c>
      <c r="B6" s="86">
        <f t="shared" ref="B6:J6" si="2">B3*0.06*3</f>
        <v>85.074674503039347</v>
      </c>
      <c r="C6" s="87">
        <f t="shared" si="2"/>
        <v>104.68106204196728</v>
      </c>
      <c r="D6" s="86">
        <f t="shared" si="2"/>
        <v>113.75138797791629</v>
      </c>
      <c r="E6" s="87">
        <f t="shared" si="2"/>
        <v>122.82162095162349</v>
      </c>
      <c r="F6" s="86">
        <f t="shared" si="2"/>
        <v>138.25725751057445</v>
      </c>
      <c r="G6" s="87">
        <f t="shared" si="2"/>
        <v>154.25717487747059</v>
      </c>
      <c r="H6" s="86">
        <f t="shared" si="2"/>
        <v>182.99059531986759</v>
      </c>
      <c r="I6" s="87">
        <f t="shared" si="2"/>
        <v>223.55308918694192</v>
      </c>
      <c r="J6" s="86">
        <f t="shared" si="2"/>
        <v>267.04733327480159</v>
      </c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</row>
    <row r="7" spans="1:256" ht="15.95" customHeight="1" x14ac:dyDescent="0.25">
      <c r="A7" s="89"/>
      <c r="B7" s="90"/>
      <c r="C7" s="91"/>
      <c r="D7" s="90"/>
      <c r="E7" s="91"/>
      <c r="F7" s="90"/>
      <c r="G7" s="91"/>
      <c r="H7" s="90"/>
      <c r="I7" s="91"/>
      <c r="J7" s="90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</row>
    <row r="8" spans="1:256" ht="15.95" customHeight="1" x14ac:dyDescent="0.25">
      <c r="A8" s="12" t="s">
        <v>56</v>
      </c>
      <c r="B8" s="92"/>
      <c r="C8" s="93"/>
      <c r="D8" s="94"/>
      <c r="E8" s="95"/>
      <c r="F8" s="94"/>
      <c r="G8" s="95"/>
      <c r="H8" s="94"/>
      <c r="I8" s="95"/>
      <c r="J8" s="94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  <c r="IV8" s="83"/>
    </row>
    <row r="9" spans="1:256" ht="15.95" customHeight="1" x14ac:dyDescent="0.25">
      <c r="A9" s="96" t="s">
        <v>11</v>
      </c>
      <c r="B9" s="97">
        <f>1170926/1936.27</f>
        <v>604.73281102325609</v>
      </c>
      <c r="C9" s="98">
        <f>1442406/1936.27</f>
        <v>744.9405299880699</v>
      </c>
      <c r="D9" s="97">
        <f>1578741/1936.27</f>
        <v>815.35168132543504</v>
      </c>
      <c r="E9" s="98">
        <f>1715137/1936.27</f>
        <v>885.79433653364458</v>
      </c>
      <c r="F9" s="97">
        <f>1929644/1936.27</f>
        <v>996.57795658663304</v>
      </c>
      <c r="G9" s="98">
        <f>2193865/1936.27</f>
        <v>1133.0367149209562</v>
      </c>
      <c r="H9" s="97">
        <f>2601132/1936.27</f>
        <v>1343.3725668424343</v>
      </c>
      <c r="I9" s="98">
        <f>3121126/1936.27</f>
        <v>1611.9270556275726</v>
      </c>
      <c r="J9" s="97">
        <v>1978.08</v>
      </c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</row>
    <row r="10" spans="1:256" ht="15.95" customHeight="1" x14ac:dyDescent="0.25">
      <c r="A10" s="99" t="s">
        <v>57</v>
      </c>
      <c r="B10" s="86">
        <f>(B$9*0.03*1)</f>
        <v>18.141984330697682</v>
      </c>
      <c r="C10" s="87">
        <f t="shared" ref="C10:J10" si="3">C9*0.03</f>
        <v>22.348215899642096</v>
      </c>
      <c r="D10" s="86">
        <f t="shared" si="3"/>
        <v>24.46055043976305</v>
      </c>
      <c r="E10" s="87">
        <f t="shared" si="3"/>
        <v>26.573830096009335</v>
      </c>
      <c r="F10" s="86">
        <f t="shared" si="3"/>
        <v>29.89733869759899</v>
      </c>
      <c r="G10" s="87">
        <f t="shared" si="3"/>
        <v>33.991101447628687</v>
      </c>
      <c r="H10" s="86">
        <f t="shared" si="3"/>
        <v>40.301177005273026</v>
      </c>
      <c r="I10" s="87">
        <f t="shared" si="3"/>
        <v>48.357811668827175</v>
      </c>
      <c r="J10" s="86">
        <f t="shared" si="3"/>
        <v>59.342399999999998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</row>
    <row r="11" spans="1:256" ht="15.95" customHeight="1" x14ac:dyDescent="0.25">
      <c r="A11" s="99" t="s">
        <v>58</v>
      </c>
      <c r="B11" s="86">
        <f>(B$9*0.03*2)</f>
        <v>36.283968661395363</v>
      </c>
      <c r="C11" s="87">
        <f t="shared" ref="C11:J11" si="4">C9*0.03*2</f>
        <v>44.696431799284191</v>
      </c>
      <c r="D11" s="86">
        <f t="shared" si="4"/>
        <v>48.921100879526101</v>
      </c>
      <c r="E11" s="87">
        <f t="shared" si="4"/>
        <v>53.14766019201867</v>
      </c>
      <c r="F11" s="86">
        <f t="shared" si="4"/>
        <v>59.794677395197979</v>
      </c>
      <c r="G11" s="87">
        <f t="shared" si="4"/>
        <v>67.982202895257373</v>
      </c>
      <c r="H11" s="86">
        <f t="shared" si="4"/>
        <v>80.602354010546051</v>
      </c>
      <c r="I11" s="87">
        <f t="shared" si="4"/>
        <v>96.71562333765435</v>
      </c>
      <c r="J11" s="86">
        <f t="shared" si="4"/>
        <v>118.6848</v>
      </c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  <c r="IV11" s="89"/>
    </row>
    <row r="12" spans="1:256" ht="15.95" customHeight="1" x14ac:dyDescent="0.25">
      <c r="A12" s="99" t="s">
        <v>59</v>
      </c>
      <c r="B12" s="86">
        <f>(B$9*0.03*3)</f>
        <v>54.425952992093045</v>
      </c>
      <c r="C12" s="87">
        <f t="shared" ref="C12:J12" si="5">C9*0.03*3</f>
        <v>67.044647698926283</v>
      </c>
      <c r="D12" s="86">
        <f t="shared" si="5"/>
        <v>73.381651319289148</v>
      </c>
      <c r="E12" s="87">
        <f t="shared" si="5"/>
        <v>79.721490288028008</v>
      </c>
      <c r="F12" s="86">
        <f t="shared" si="5"/>
        <v>89.692016092796962</v>
      </c>
      <c r="G12" s="87">
        <f t="shared" si="5"/>
        <v>101.97330434288605</v>
      </c>
      <c r="H12" s="86">
        <f t="shared" si="5"/>
        <v>120.90353101581908</v>
      </c>
      <c r="I12" s="87">
        <f t="shared" si="5"/>
        <v>145.07343500648153</v>
      </c>
      <c r="J12" s="86">
        <f t="shared" si="5"/>
        <v>178.02719999999999</v>
      </c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  <c r="IV12" s="89"/>
    </row>
    <row r="13" spans="1:256" ht="15.95" customHeight="1" x14ac:dyDescent="0.25">
      <c r="A13" s="99" t="s">
        <v>60</v>
      </c>
      <c r="B13" s="86">
        <f>B$9*0.03*4</f>
        <v>72.567937322790726</v>
      </c>
      <c r="C13" s="87">
        <f t="shared" ref="C13:J13" si="6">C9*0.03*4</f>
        <v>89.392863598568383</v>
      </c>
      <c r="D13" s="86">
        <f t="shared" si="6"/>
        <v>97.842201759052202</v>
      </c>
      <c r="E13" s="87">
        <f t="shared" si="6"/>
        <v>106.29532038403734</v>
      </c>
      <c r="F13" s="86">
        <f t="shared" si="6"/>
        <v>119.58935479039596</v>
      </c>
      <c r="G13" s="87">
        <f t="shared" si="6"/>
        <v>135.96440579051475</v>
      </c>
      <c r="H13" s="86">
        <f t="shared" si="6"/>
        <v>161.2047080210921</v>
      </c>
      <c r="I13" s="87">
        <f t="shared" si="6"/>
        <v>193.4312466753087</v>
      </c>
      <c r="J13" s="86">
        <f t="shared" si="6"/>
        <v>237.36959999999999</v>
      </c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  <c r="IV13" s="89"/>
    </row>
    <row r="14" spans="1:256" ht="15.95" customHeight="1" x14ac:dyDescent="0.25">
      <c r="A14" s="99" t="s">
        <v>61</v>
      </c>
      <c r="B14" s="86">
        <f t="shared" ref="B14:J14" si="7">B9*0.03*5</f>
        <v>90.709921653488408</v>
      </c>
      <c r="C14" s="87">
        <f t="shared" si="7"/>
        <v>111.74107949821048</v>
      </c>
      <c r="D14" s="86">
        <f t="shared" si="7"/>
        <v>122.30275219881526</v>
      </c>
      <c r="E14" s="87">
        <f t="shared" si="7"/>
        <v>132.86915048004667</v>
      </c>
      <c r="F14" s="86">
        <f t="shared" si="7"/>
        <v>149.48669348799496</v>
      </c>
      <c r="G14" s="87">
        <f t="shared" si="7"/>
        <v>169.95550723814344</v>
      </c>
      <c r="H14" s="86">
        <f t="shared" si="7"/>
        <v>201.50588502636512</v>
      </c>
      <c r="I14" s="87">
        <f t="shared" si="7"/>
        <v>241.78905834413587</v>
      </c>
      <c r="J14" s="86">
        <f t="shared" si="7"/>
        <v>296.71199999999999</v>
      </c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  <c r="IV14" s="89"/>
    </row>
    <row r="15" spans="1:256" ht="15.95" customHeight="1" x14ac:dyDescent="0.25">
      <c r="A15" s="99" t="s">
        <v>62</v>
      </c>
      <c r="B15" s="86">
        <f t="shared" ref="B15:J15" si="8">B9*0.03*6</f>
        <v>108.85190598418609</v>
      </c>
      <c r="C15" s="87">
        <f t="shared" si="8"/>
        <v>134.08929539785257</v>
      </c>
      <c r="D15" s="86">
        <f t="shared" si="8"/>
        <v>146.7633026385783</v>
      </c>
      <c r="E15" s="87">
        <f t="shared" si="8"/>
        <v>159.44298057605602</v>
      </c>
      <c r="F15" s="86">
        <f t="shared" si="8"/>
        <v>179.38403218559392</v>
      </c>
      <c r="G15" s="87">
        <f t="shared" si="8"/>
        <v>203.94660868577211</v>
      </c>
      <c r="H15" s="86">
        <f t="shared" si="8"/>
        <v>241.80706203163817</v>
      </c>
      <c r="I15" s="87">
        <f t="shared" si="8"/>
        <v>290.14687001296306</v>
      </c>
      <c r="J15" s="86">
        <f t="shared" si="8"/>
        <v>356.05439999999999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</row>
    <row r="16" spans="1:256" ht="15.95" customHeight="1" x14ac:dyDescent="0.25">
      <c r="A16" s="99" t="s">
        <v>63</v>
      </c>
      <c r="B16" s="86">
        <f t="shared" ref="B16:J16" si="9">B9*0.03*7</f>
        <v>126.99389031488377</v>
      </c>
      <c r="C16" s="87">
        <f t="shared" si="9"/>
        <v>156.43751129749467</v>
      </c>
      <c r="D16" s="86">
        <f t="shared" si="9"/>
        <v>171.22385307834136</v>
      </c>
      <c r="E16" s="87">
        <f t="shared" si="9"/>
        <v>186.01681067206533</v>
      </c>
      <c r="F16" s="86">
        <f t="shared" si="9"/>
        <v>209.28137088319292</v>
      </c>
      <c r="G16" s="87">
        <f t="shared" si="9"/>
        <v>237.9377101334008</v>
      </c>
      <c r="H16" s="86">
        <f t="shared" si="9"/>
        <v>282.10823903691119</v>
      </c>
      <c r="I16" s="87">
        <f t="shared" si="9"/>
        <v>338.5046816817902</v>
      </c>
      <c r="J16" s="86">
        <f t="shared" si="9"/>
        <v>415.39679999999998</v>
      </c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89"/>
      <c r="IV16" s="89"/>
    </row>
    <row r="17" spans="1:256" ht="15.95" customHeight="1" x14ac:dyDescent="0.25">
      <c r="A17" s="99" t="s">
        <v>64</v>
      </c>
      <c r="B17" s="86">
        <f t="shared" ref="B17:J17" si="10">B9*0.03*8</f>
        <v>145.13587464558145</v>
      </c>
      <c r="C17" s="87">
        <f t="shared" si="10"/>
        <v>178.78572719713677</v>
      </c>
      <c r="D17" s="86">
        <f t="shared" si="10"/>
        <v>195.6844035181044</v>
      </c>
      <c r="E17" s="87">
        <f t="shared" si="10"/>
        <v>212.59064076807468</v>
      </c>
      <c r="F17" s="86">
        <f t="shared" si="10"/>
        <v>239.17870958079192</v>
      </c>
      <c r="G17" s="87">
        <f t="shared" si="10"/>
        <v>271.92881158102949</v>
      </c>
      <c r="H17" s="86">
        <f t="shared" si="10"/>
        <v>322.4094160421842</v>
      </c>
      <c r="I17" s="87">
        <f t="shared" si="10"/>
        <v>386.8624933506174</v>
      </c>
      <c r="J17" s="86">
        <f t="shared" si="10"/>
        <v>474.73919999999998</v>
      </c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</row>
    <row r="18" spans="1:256" ht="15.95" customHeight="1" x14ac:dyDescent="0.25">
      <c r="A18" s="99" t="s">
        <v>65</v>
      </c>
      <c r="B18" s="86">
        <f t="shared" ref="B18:J18" si="11">B9*0.03*9</f>
        <v>163.27785897627913</v>
      </c>
      <c r="C18" s="87">
        <f t="shared" si="11"/>
        <v>201.13394309677886</v>
      </c>
      <c r="D18" s="86">
        <f t="shared" si="11"/>
        <v>220.14495395786744</v>
      </c>
      <c r="E18" s="87">
        <f t="shared" si="11"/>
        <v>239.16447086408402</v>
      </c>
      <c r="F18" s="86">
        <f t="shared" si="11"/>
        <v>269.07604827839089</v>
      </c>
      <c r="G18" s="87">
        <f t="shared" si="11"/>
        <v>305.91991302865819</v>
      </c>
      <c r="H18" s="86">
        <f t="shared" si="11"/>
        <v>362.71059304745722</v>
      </c>
      <c r="I18" s="87">
        <f t="shared" si="11"/>
        <v>435.2203050194446</v>
      </c>
      <c r="J18" s="86">
        <f t="shared" si="11"/>
        <v>534.08159999999998</v>
      </c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  <c r="IV18" s="89"/>
    </row>
    <row r="19" spans="1:256" ht="15.95" customHeight="1" x14ac:dyDescent="0.25">
      <c r="A19" s="99" t="s">
        <v>66</v>
      </c>
      <c r="B19" s="86">
        <f t="shared" ref="B19:J19" si="12">B9*0.03*10</f>
        <v>181.41984330697682</v>
      </c>
      <c r="C19" s="87">
        <f t="shared" si="12"/>
        <v>223.48215899642096</v>
      </c>
      <c r="D19" s="86">
        <f t="shared" si="12"/>
        <v>244.60550439763051</v>
      </c>
      <c r="E19" s="87">
        <f t="shared" si="12"/>
        <v>265.73830096009334</v>
      </c>
      <c r="F19" s="86">
        <f t="shared" si="12"/>
        <v>298.97338697598991</v>
      </c>
      <c r="G19" s="87">
        <f t="shared" si="12"/>
        <v>339.91101447628688</v>
      </c>
      <c r="H19" s="86">
        <f t="shared" si="12"/>
        <v>403.01177005273024</v>
      </c>
      <c r="I19" s="87">
        <f t="shared" si="12"/>
        <v>483.57811668827173</v>
      </c>
      <c r="J19" s="86">
        <f t="shared" si="12"/>
        <v>593.42399999999998</v>
      </c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  <c r="IV19" s="89"/>
    </row>
    <row r="20" spans="1:256" ht="15.95" customHeight="1" x14ac:dyDescent="0.25">
      <c r="A20" s="99" t="s">
        <v>67</v>
      </c>
      <c r="B20" s="86">
        <f t="shared" ref="B20:J20" si="13">B9*0.03*11</f>
        <v>199.5618276376745</v>
      </c>
      <c r="C20" s="87">
        <f t="shared" si="13"/>
        <v>245.83037489606306</v>
      </c>
      <c r="D20" s="86">
        <f t="shared" si="13"/>
        <v>269.06605483739355</v>
      </c>
      <c r="E20" s="87">
        <f t="shared" si="13"/>
        <v>292.31213105610266</v>
      </c>
      <c r="F20" s="86">
        <f t="shared" si="13"/>
        <v>328.87072567358888</v>
      </c>
      <c r="G20" s="87">
        <f t="shared" si="13"/>
        <v>373.90211592391557</v>
      </c>
      <c r="H20" s="86">
        <f t="shared" si="13"/>
        <v>443.31294705800326</v>
      </c>
      <c r="I20" s="87">
        <f t="shared" si="13"/>
        <v>531.93592835709887</v>
      </c>
      <c r="J20" s="86">
        <f t="shared" si="13"/>
        <v>652.76639999999998</v>
      </c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  <c r="IV20" s="89"/>
    </row>
    <row r="21" spans="1:256" ht="15.95" customHeight="1" x14ac:dyDescent="0.25">
      <c r="A21" s="99" t="s">
        <v>68</v>
      </c>
      <c r="B21" s="86">
        <f t="shared" ref="B21:J21" si="14">B9*0.03*12</f>
        <v>217.70381196837218</v>
      </c>
      <c r="C21" s="87">
        <f t="shared" si="14"/>
        <v>268.17859079570513</v>
      </c>
      <c r="D21" s="86">
        <f t="shared" si="14"/>
        <v>293.52660527715659</v>
      </c>
      <c r="E21" s="87">
        <f t="shared" si="14"/>
        <v>318.88596115211203</v>
      </c>
      <c r="F21" s="86">
        <f t="shared" si="14"/>
        <v>358.76806437118785</v>
      </c>
      <c r="G21" s="87">
        <f t="shared" si="14"/>
        <v>407.89321737154421</v>
      </c>
      <c r="H21" s="86">
        <f t="shared" si="14"/>
        <v>483.61412406327634</v>
      </c>
      <c r="I21" s="87">
        <f t="shared" si="14"/>
        <v>580.29374002592613</v>
      </c>
      <c r="J21" s="86">
        <f t="shared" si="14"/>
        <v>712.10879999999997</v>
      </c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  <c r="IV21" s="89"/>
    </row>
    <row r="22" spans="1:256" ht="15.95" customHeight="1" x14ac:dyDescent="0.25">
      <c r="A22" s="99" t="s">
        <v>69</v>
      </c>
      <c r="B22" s="86">
        <f t="shared" ref="B22:J22" si="15">B9*0.03*13</f>
        <v>235.84579629906986</v>
      </c>
      <c r="C22" s="87">
        <f t="shared" si="15"/>
        <v>290.52680669534726</v>
      </c>
      <c r="D22" s="86">
        <f t="shared" si="15"/>
        <v>317.98715571691963</v>
      </c>
      <c r="E22" s="87">
        <f t="shared" si="15"/>
        <v>345.45979124812135</v>
      </c>
      <c r="F22" s="86">
        <f t="shared" si="15"/>
        <v>388.66540306878687</v>
      </c>
      <c r="G22" s="87">
        <f t="shared" si="15"/>
        <v>441.8843188191729</v>
      </c>
      <c r="H22" s="86">
        <f t="shared" si="15"/>
        <v>523.9153010685493</v>
      </c>
      <c r="I22" s="87">
        <f t="shared" si="15"/>
        <v>628.65155169475327</v>
      </c>
      <c r="J22" s="86">
        <f t="shared" si="15"/>
        <v>771.45119999999997</v>
      </c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  <c r="IV22" s="89"/>
    </row>
    <row r="23" spans="1:256" ht="15.95" customHeight="1" x14ac:dyDescent="0.25">
      <c r="A23" s="99" t="s">
        <v>70</v>
      </c>
      <c r="B23" s="86">
        <f t="shared" ref="B23:J23" si="16">B9*0.03*14</f>
        <v>253.98778062976754</v>
      </c>
      <c r="C23" s="87">
        <f t="shared" si="16"/>
        <v>312.87502259498933</v>
      </c>
      <c r="D23" s="86">
        <f t="shared" si="16"/>
        <v>342.44770615668273</v>
      </c>
      <c r="E23" s="87">
        <f t="shared" si="16"/>
        <v>372.03362134413067</v>
      </c>
      <c r="F23" s="86">
        <f t="shared" si="16"/>
        <v>418.56274176638584</v>
      </c>
      <c r="G23" s="87">
        <f t="shared" si="16"/>
        <v>475.8754202668016</v>
      </c>
      <c r="H23" s="86">
        <f t="shared" si="16"/>
        <v>564.21647807382237</v>
      </c>
      <c r="I23" s="87">
        <f t="shared" si="16"/>
        <v>677.00936336358041</v>
      </c>
      <c r="J23" s="86">
        <f t="shared" si="16"/>
        <v>830.79359999999997</v>
      </c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  <c r="IR23" s="89"/>
      <c r="IS23" s="89"/>
      <c r="IT23" s="89"/>
      <c r="IU23" s="89"/>
      <c r="IV23" s="89"/>
    </row>
    <row r="24" spans="1:256" ht="15.95" customHeight="1" x14ac:dyDescent="0.25">
      <c r="A24" s="99" t="s">
        <v>71</v>
      </c>
      <c r="B24" s="86">
        <f t="shared" ref="B24:J24" si="17">B9*0.03*15</f>
        <v>272.1297649604652</v>
      </c>
      <c r="C24" s="87">
        <f t="shared" si="17"/>
        <v>335.22323849463146</v>
      </c>
      <c r="D24" s="86">
        <f t="shared" si="17"/>
        <v>366.90825659644577</v>
      </c>
      <c r="E24" s="87">
        <f t="shared" si="17"/>
        <v>398.60745144014004</v>
      </c>
      <c r="F24" s="86">
        <f t="shared" si="17"/>
        <v>448.46008046398487</v>
      </c>
      <c r="G24" s="87">
        <f t="shared" si="17"/>
        <v>509.86652171443029</v>
      </c>
      <c r="H24" s="86">
        <f t="shared" si="17"/>
        <v>604.51765507909533</v>
      </c>
      <c r="I24" s="87">
        <f t="shared" si="17"/>
        <v>725.36717503240766</v>
      </c>
      <c r="J24" s="86">
        <f t="shared" si="17"/>
        <v>890.13599999999997</v>
      </c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  <c r="IR24" s="89"/>
      <c r="IS24" s="89"/>
      <c r="IT24" s="89"/>
      <c r="IU24" s="89"/>
      <c r="IV24" s="89"/>
    </row>
    <row r="25" spans="1:256" ht="15.95" customHeight="1" x14ac:dyDescent="0.25">
      <c r="A25" s="99" t="s">
        <v>72</v>
      </c>
      <c r="B25" s="86">
        <f t="shared" ref="B25:J25" si="18">B9*0.03*16</f>
        <v>290.27174929116291</v>
      </c>
      <c r="C25" s="87">
        <f t="shared" si="18"/>
        <v>357.57145439427353</v>
      </c>
      <c r="D25" s="86">
        <f t="shared" si="18"/>
        <v>391.36880703620881</v>
      </c>
      <c r="E25" s="87">
        <f t="shared" si="18"/>
        <v>425.18128153614936</v>
      </c>
      <c r="F25" s="86">
        <f t="shared" si="18"/>
        <v>478.35741916158383</v>
      </c>
      <c r="G25" s="87">
        <f t="shared" si="18"/>
        <v>543.85762316205899</v>
      </c>
      <c r="H25" s="86">
        <f t="shared" si="18"/>
        <v>644.81883208436841</v>
      </c>
      <c r="I25" s="87">
        <f t="shared" si="18"/>
        <v>773.7249867012348</v>
      </c>
      <c r="J25" s="86">
        <f t="shared" si="18"/>
        <v>949.47839999999997</v>
      </c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  <c r="IR25" s="89"/>
      <c r="IS25" s="89"/>
      <c r="IT25" s="89"/>
      <c r="IU25" s="89"/>
      <c r="IV25" s="89"/>
    </row>
    <row r="26" spans="1:256" ht="15.95" customHeight="1" x14ac:dyDescent="0.25">
      <c r="A26" s="99" t="s">
        <v>73</v>
      </c>
      <c r="B26" s="86">
        <f t="shared" ref="B26:J26" si="19">B9*0.03*17</f>
        <v>308.41373362186062</v>
      </c>
      <c r="C26" s="87">
        <f t="shared" si="19"/>
        <v>379.9196702939156</v>
      </c>
      <c r="D26" s="86">
        <f t="shared" si="19"/>
        <v>415.82935747597185</v>
      </c>
      <c r="E26" s="87">
        <f t="shared" si="19"/>
        <v>451.75511163215867</v>
      </c>
      <c r="F26" s="86">
        <f t="shared" si="19"/>
        <v>508.2547578591828</v>
      </c>
      <c r="G26" s="87">
        <f t="shared" si="19"/>
        <v>577.84872460968768</v>
      </c>
      <c r="H26" s="86">
        <f t="shared" si="19"/>
        <v>685.12000908964148</v>
      </c>
      <c r="I26" s="87">
        <f t="shared" si="19"/>
        <v>822.08279837006194</v>
      </c>
      <c r="J26" s="86">
        <f t="shared" si="19"/>
        <v>1008.8208</v>
      </c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  <c r="IR26" s="89"/>
      <c r="IS26" s="89"/>
      <c r="IT26" s="89"/>
      <c r="IU26" s="89"/>
      <c r="IV26" s="89"/>
    </row>
    <row r="27" spans="1:256" ht="15.95" customHeight="1" x14ac:dyDescent="0.25">
      <c r="A27" s="99" t="s">
        <v>74</v>
      </c>
      <c r="B27" s="86">
        <f t="shared" ref="B27:J27" si="20">B9*0.03*18</f>
        <v>326.55571795255827</v>
      </c>
      <c r="C27" s="87">
        <f t="shared" si="20"/>
        <v>402.26788619355773</v>
      </c>
      <c r="D27" s="86">
        <f t="shared" si="20"/>
        <v>440.28990791573489</v>
      </c>
      <c r="E27" s="87">
        <f t="shared" si="20"/>
        <v>478.32894172816805</v>
      </c>
      <c r="F27" s="86">
        <f t="shared" si="20"/>
        <v>538.15209655678177</v>
      </c>
      <c r="G27" s="87">
        <f t="shared" si="20"/>
        <v>611.83982605731637</v>
      </c>
      <c r="H27" s="86">
        <f t="shared" si="20"/>
        <v>725.42118609491445</v>
      </c>
      <c r="I27" s="87">
        <f t="shared" si="20"/>
        <v>870.44061003888919</v>
      </c>
      <c r="J27" s="86">
        <f t="shared" si="20"/>
        <v>1068.1632</v>
      </c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  <c r="IR27" s="89"/>
      <c r="IS27" s="89"/>
      <c r="IT27" s="89"/>
      <c r="IU27" s="89"/>
      <c r="IV27" s="89"/>
    </row>
    <row r="28" spans="1:256" ht="15.95" customHeight="1" x14ac:dyDescent="0.25">
      <c r="A28" s="99" t="s">
        <v>75</v>
      </c>
      <c r="B28" s="86">
        <f t="shared" ref="B28:J28" si="21">B9*0.03*19</f>
        <v>344.69770228325592</v>
      </c>
      <c r="C28" s="87">
        <f t="shared" si="21"/>
        <v>424.6161020931998</v>
      </c>
      <c r="D28" s="86">
        <f t="shared" si="21"/>
        <v>464.75045835549798</v>
      </c>
      <c r="E28" s="87">
        <f t="shared" si="21"/>
        <v>504.90277182417736</v>
      </c>
      <c r="F28" s="86">
        <f t="shared" si="21"/>
        <v>568.0494352543808</v>
      </c>
      <c r="G28" s="87">
        <f t="shared" si="21"/>
        <v>645.83092750494507</v>
      </c>
      <c r="H28" s="86">
        <f t="shared" si="21"/>
        <v>765.72236310018752</v>
      </c>
      <c r="I28" s="87">
        <f t="shared" si="21"/>
        <v>918.79842170771633</v>
      </c>
      <c r="J28" s="86">
        <f t="shared" si="21"/>
        <v>1127.5056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89"/>
      <c r="IQ28" s="89"/>
      <c r="IR28" s="89"/>
      <c r="IS28" s="89"/>
      <c r="IT28" s="89"/>
      <c r="IU28" s="89"/>
      <c r="IV28" s="89"/>
    </row>
    <row r="29" spans="1:256" ht="15.95" customHeight="1" x14ac:dyDescent="0.25">
      <c r="A29" s="99" t="s">
        <v>76</v>
      </c>
      <c r="B29" s="86">
        <f t="shared" ref="B29:J29" si="22">B9*0.03*20</f>
        <v>362.83968661395363</v>
      </c>
      <c r="C29" s="87">
        <f t="shared" si="22"/>
        <v>446.96431799284193</v>
      </c>
      <c r="D29" s="86">
        <f t="shared" si="22"/>
        <v>489.21100879526102</v>
      </c>
      <c r="E29" s="87">
        <f t="shared" si="22"/>
        <v>531.47660192018668</v>
      </c>
      <c r="F29" s="86">
        <f t="shared" si="22"/>
        <v>597.94677395197982</v>
      </c>
      <c r="G29" s="87">
        <f t="shared" si="22"/>
        <v>679.82202895257376</v>
      </c>
      <c r="H29" s="86">
        <f t="shared" si="22"/>
        <v>806.02354010546048</v>
      </c>
      <c r="I29" s="87">
        <f t="shared" si="22"/>
        <v>967.15623337654347</v>
      </c>
      <c r="J29" s="86">
        <f t="shared" si="22"/>
        <v>1186.848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89"/>
      <c r="IT29" s="89"/>
      <c r="IU29" s="89"/>
      <c r="IV29" s="89"/>
    </row>
    <row r="30" spans="1:256" ht="15.95" customHeight="1" x14ac:dyDescent="0.25">
      <c r="A30" s="99" t="s">
        <v>77</v>
      </c>
      <c r="B30" s="86">
        <f t="shared" ref="B30:J30" si="23">B9*0.03*21</f>
        <v>380.98167094465134</v>
      </c>
      <c r="C30" s="87">
        <f t="shared" si="23"/>
        <v>469.312533892484</v>
      </c>
      <c r="D30" s="86">
        <f t="shared" si="23"/>
        <v>513.67155923502401</v>
      </c>
      <c r="E30" s="87">
        <f t="shared" si="23"/>
        <v>558.05043201619605</v>
      </c>
      <c r="F30" s="86">
        <f t="shared" si="23"/>
        <v>627.84411264957873</v>
      </c>
      <c r="G30" s="87">
        <f t="shared" si="23"/>
        <v>713.81313040020245</v>
      </c>
      <c r="H30" s="86">
        <f t="shared" si="23"/>
        <v>846.32471711073356</v>
      </c>
      <c r="I30" s="87">
        <f t="shared" si="23"/>
        <v>1015.5140450453707</v>
      </c>
      <c r="J30" s="86">
        <f t="shared" si="23"/>
        <v>1246.1904</v>
      </c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89"/>
      <c r="IS30" s="89"/>
      <c r="IT30" s="89"/>
      <c r="IU30" s="89"/>
      <c r="IV30" s="89"/>
    </row>
    <row r="31" spans="1:256" ht="15.95" customHeight="1" x14ac:dyDescent="0.25">
      <c r="A31" s="99" t="s">
        <v>78</v>
      </c>
      <c r="B31" s="86">
        <f t="shared" ref="B31:J31" si="24">B9*0.03*22</f>
        <v>399.12365527534899</v>
      </c>
      <c r="C31" s="87">
        <f t="shared" si="24"/>
        <v>491.66074979212613</v>
      </c>
      <c r="D31" s="86">
        <f t="shared" si="24"/>
        <v>538.1321096747871</v>
      </c>
      <c r="E31" s="87">
        <f t="shared" si="24"/>
        <v>584.62426211220532</v>
      </c>
      <c r="F31" s="86">
        <f t="shared" si="24"/>
        <v>657.74145134717776</v>
      </c>
      <c r="G31" s="87">
        <f t="shared" si="24"/>
        <v>747.80423184783115</v>
      </c>
      <c r="H31" s="86">
        <f t="shared" si="24"/>
        <v>886.62589411600652</v>
      </c>
      <c r="I31" s="87">
        <f t="shared" si="24"/>
        <v>1063.8718567141977</v>
      </c>
      <c r="J31" s="86">
        <f t="shared" si="24"/>
        <v>1305.5328</v>
      </c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  <c r="IT31" s="89"/>
      <c r="IU31" s="89"/>
      <c r="IV31" s="89"/>
    </row>
    <row r="32" spans="1:256" ht="15.95" customHeight="1" x14ac:dyDescent="0.25">
      <c r="A32" s="99" t="s">
        <v>79</v>
      </c>
      <c r="B32" s="86">
        <f t="shared" ref="B32:J32" si="25">B9*0.03*23</f>
        <v>417.26563960604665</v>
      </c>
      <c r="C32" s="87">
        <f t="shared" si="25"/>
        <v>514.00896569176825</v>
      </c>
      <c r="D32" s="86">
        <f t="shared" si="25"/>
        <v>562.5926601145502</v>
      </c>
      <c r="E32" s="87">
        <f t="shared" si="25"/>
        <v>611.19809220821469</v>
      </c>
      <c r="F32" s="86">
        <f t="shared" si="25"/>
        <v>687.63879004477678</v>
      </c>
      <c r="G32" s="87">
        <f t="shared" si="25"/>
        <v>781.79533329545984</v>
      </c>
      <c r="H32" s="86">
        <f t="shared" si="25"/>
        <v>926.9270711212796</v>
      </c>
      <c r="I32" s="87">
        <f t="shared" si="25"/>
        <v>1112.229668383025</v>
      </c>
      <c r="J32" s="86">
        <f t="shared" si="25"/>
        <v>1364.8751999999999</v>
      </c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  <c r="IV32" s="89"/>
    </row>
    <row r="33" spans="1:256" ht="15.95" customHeight="1" x14ac:dyDescent="0.25">
      <c r="A33" s="99" t="s">
        <v>80</v>
      </c>
      <c r="B33" s="86">
        <f t="shared" ref="B33:J33" si="26">B9*0.03*24</f>
        <v>435.40762393674436</v>
      </c>
      <c r="C33" s="87">
        <f t="shared" si="26"/>
        <v>536.35718159141027</v>
      </c>
      <c r="D33" s="86">
        <f t="shared" si="26"/>
        <v>587.05321055431318</v>
      </c>
      <c r="E33" s="87">
        <f t="shared" si="26"/>
        <v>637.77192230422406</v>
      </c>
      <c r="F33" s="86">
        <f t="shared" si="26"/>
        <v>717.53612874237569</v>
      </c>
      <c r="G33" s="87">
        <f t="shared" si="26"/>
        <v>815.78643474308842</v>
      </c>
      <c r="H33" s="86">
        <f t="shared" si="26"/>
        <v>967.22824812655267</v>
      </c>
      <c r="I33" s="87">
        <f t="shared" si="26"/>
        <v>1160.5874800518523</v>
      </c>
      <c r="J33" s="86">
        <f t="shared" si="26"/>
        <v>1424.2175999999999</v>
      </c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89"/>
      <c r="IQ33" s="89"/>
      <c r="IR33" s="89"/>
      <c r="IS33" s="89"/>
      <c r="IT33" s="89"/>
      <c r="IU33" s="89"/>
      <c r="IV33" s="89"/>
    </row>
    <row r="34" spans="1:256" ht="15.95" customHeight="1" x14ac:dyDescent="0.25">
      <c r="A34" s="99" t="s">
        <v>81</v>
      </c>
      <c r="B34" s="86">
        <f t="shared" ref="B34:J34" si="27">B9*0.03*25</f>
        <v>453.54960826744207</v>
      </c>
      <c r="C34" s="87">
        <f t="shared" si="27"/>
        <v>558.70539749105239</v>
      </c>
      <c r="D34" s="86">
        <f t="shared" si="27"/>
        <v>611.51376099407628</v>
      </c>
      <c r="E34" s="87">
        <f t="shared" si="27"/>
        <v>664.34575240023332</v>
      </c>
      <c r="F34" s="86">
        <f t="shared" si="27"/>
        <v>747.43346743997472</v>
      </c>
      <c r="G34" s="87">
        <f t="shared" si="27"/>
        <v>849.77753619071711</v>
      </c>
      <c r="H34" s="86">
        <f t="shared" si="27"/>
        <v>1007.5294251318256</v>
      </c>
      <c r="I34" s="87">
        <f t="shared" si="27"/>
        <v>1208.9452917206793</v>
      </c>
      <c r="J34" s="86">
        <f t="shared" si="27"/>
        <v>1483.56</v>
      </c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  <c r="IV34" s="89"/>
    </row>
  </sheetData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headerFooter>
    <oddHeader>&amp;C&amp;"Comic Sans MS,Fett"&amp;12Gehaltstabellen von 01.02.2000 bis 30.06.2001 / Tabelle stipendiali dal 01.02.2000 al 30.06.2001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"/>
  <sheetViews>
    <sheetView zoomScaleNormal="100" workbookViewId="0"/>
  </sheetViews>
  <sheetFormatPr baseColWidth="10" defaultColWidth="9.140625" defaultRowHeight="12.75" x14ac:dyDescent="0.2"/>
  <cols>
    <col min="1" max="1" width="25.28515625"/>
    <col min="2" max="2" width="14"/>
    <col min="3" max="3" width="14.28515625"/>
    <col min="4" max="4" width="15.42578125"/>
    <col min="5" max="5" width="14.42578125"/>
    <col min="6" max="6" width="15.5703125"/>
    <col min="7" max="7" width="14.5703125"/>
    <col min="8" max="8" width="14.85546875"/>
    <col min="9" max="9" width="13.85546875"/>
    <col min="10" max="10" width="15"/>
    <col min="11" max="256" width="16.140625"/>
    <col min="257" max="1025" width="11.5703125"/>
  </cols>
  <sheetData>
    <row r="1" spans="1:256" ht="15.75" x14ac:dyDescent="0.25">
      <c r="A1" s="39"/>
      <c r="B1" s="9" t="s">
        <v>44</v>
      </c>
      <c r="C1" s="40" t="s">
        <v>45</v>
      </c>
      <c r="D1" s="9" t="s">
        <v>46</v>
      </c>
      <c r="E1" s="40" t="s">
        <v>47</v>
      </c>
      <c r="F1" s="9" t="s">
        <v>48</v>
      </c>
      <c r="G1" s="40" t="s">
        <v>49</v>
      </c>
      <c r="H1" s="9" t="s">
        <v>50</v>
      </c>
      <c r="I1" s="40" t="s">
        <v>51</v>
      </c>
      <c r="J1" s="9" t="s">
        <v>52</v>
      </c>
      <c r="K1" s="73"/>
      <c r="L1" s="71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15" x14ac:dyDescent="0.2">
      <c r="A2" s="13" t="s">
        <v>10</v>
      </c>
      <c r="B2" s="14"/>
      <c r="C2" s="15"/>
      <c r="D2" s="14"/>
      <c r="E2" s="15"/>
      <c r="F2" s="14"/>
      <c r="G2" s="15"/>
      <c r="H2" s="14"/>
      <c r="I2" s="15"/>
      <c r="J2" s="14"/>
      <c r="K2" s="74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</row>
    <row r="3" spans="1:256" ht="15.75" x14ac:dyDescent="0.25">
      <c r="A3" s="18" t="s">
        <v>11</v>
      </c>
      <c r="B3" s="19">
        <v>926163</v>
      </c>
      <c r="C3" s="20">
        <v>1139602</v>
      </c>
      <c r="D3" s="19">
        <v>1238331</v>
      </c>
      <c r="E3" s="20">
        <v>1337059</v>
      </c>
      <c r="F3" s="19">
        <v>1505114</v>
      </c>
      <c r="G3" s="20">
        <v>1679269</v>
      </c>
      <c r="H3" s="19">
        <v>1992077</v>
      </c>
      <c r="I3" s="20">
        <v>2433656</v>
      </c>
      <c r="J3" s="19">
        <v>2907138</v>
      </c>
      <c r="K3" s="75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ht="15" x14ac:dyDescent="0.2">
      <c r="A4" s="23" t="s">
        <v>53</v>
      </c>
      <c r="B4" s="24">
        <v>981733</v>
      </c>
      <c r="C4" s="25">
        <v>1207978</v>
      </c>
      <c r="D4" s="24">
        <v>1312630</v>
      </c>
      <c r="E4" s="25">
        <v>1417283</v>
      </c>
      <c r="F4" s="24">
        <v>1595421</v>
      </c>
      <c r="G4" s="25">
        <v>1780025</v>
      </c>
      <c r="H4" s="24">
        <v>2111602</v>
      </c>
      <c r="I4" s="25">
        <v>2579675</v>
      </c>
      <c r="J4" s="24">
        <v>3081566</v>
      </c>
      <c r="K4" s="76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</row>
    <row r="5" spans="1:256" ht="15" x14ac:dyDescent="0.2">
      <c r="A5" s="23" t="s">
        <v>54</v>
      </c>
      <c r="B5" s="24">
        <v>1037303</v>
      </c>
      <c r="C5" s="25">
        <v>1276354</v>
      </c>
      <c r="D5" s="24">
        <v>1386930</v>
      </c>
      <c r="E5" s="25">
        <v>1497506</v>
      </c>
      <c r="F5" s="24">
        <v>1685728</v>
      </c>
      <c r="G5" s="25">
        <v>1880781</v>
      </c>
      <c r="H5" s="24">
        <v>2231126</v>
      </c>
      <c r="I5" s="25">
        <v>2725695</v>
      </c>
      <c r="J5" s="24">
        <v>3255995</v>
      </c>
      <c r="K5" s="63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15" x14ac:dyDescent="0.2">
      <c r="A6" s="23" t="s">
        <v>55</v>
      </c>
      <c r="B6" s="24">
        <v>1092872</v>
      </c>
      <c r="C6" s="25">
        <v>1344730</v>
      </c>
      <c r="D6" s="24">
        <v>1461230</v>
      </c>
      <c r="E6" s="25">
        <v>1577730</v>
      </c>
      <c r="F6" s="24">
        <v>1776035</v>
      </c>
      <c r="G6" s="25">
        <v>1981537</v>
      </c>
      <c r="H6" s="24">
        <v>2350651</v>
      </c>
      <c r="I6" s="25">
        <v>2871714</v>
      </c>
      <c r="J6" s="24">
        <v>3430423</v>
      </c>
      <c r="K6" s="63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15" x14ac:dyDescent="0.2">
      <c r="A7" s="22"/>
      <c r="B7" s="37"/>
      <c r="C7" s="38"/>
      <c r="D7" s="37"/>
      <c r="E7" s="38"/>
      <c r="F7" s="37"/>
      <c r="G7" s="38"/>
      <c r="H7" s="37"/>
      <c r="I7" s="38"/>
      <c r="J7" s="37"/>
      <c r="K7" s="63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ht="15" x14ac:dyDescent="0.2">
      <c r="A8" s="12" t="s">
        <v>56</v>
      </c>
      <c r="B8" s="44"/>
      <c r="C8" s="45"/>
      <c r="D8" s="44"/>
      <c r="E8" s="45"/>
      <c r="F8" s="44"/>
      <c r="G8" s="45"/>
      <c r="H8" s="44"/>
      <c r="I8" s="45"/>
      <c r="J8" s="44"/>
      <c r="K8" s="74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</row>
    <row r="9" spans="1:256" ht="15.75" x14ac:dyDescent="0.25">
      <c r="A9" s="18" t="s">
        <v>11</v>
      </c>
      <c r="B9" s="19">
        <v>1184986</v>
      </c>
      <c r="C9" s="20">
        <v>1459730</v>
      </c>
      <c r="D9" s="19">
        <v>1597712</v>
      </c>
      <c r="E9" s="20">
        <v>1735725</v>
      </c>
      <c r="F9" s="19">
        <v>1952824</v>
      </c>
      <c r="G9" s="20">
        <v>2220217</v>
      </c>
      <c r="H9" s="19">
        <v>2632364</v>
      </c>
      <c r="I9" s="20">
        <v>3158580</v>
      </c>
      <c r="J9" s="19">
        <v>3876154</v>
      </c>
      <c r="K9" s="75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 ht="15" x14ac:dyDescent="0.2">
      <c r="A10" s="23" t="s">
        <v>57</v>
      </c>
      <c r="B10" s="24">
        <v>1220536</v>
      </c>
      <c r="C10" s="25">
        <v>1503522</v>
      </c>
      <c r="D10" s="24">
        <v>1645643</v>
      </c>
      <c r="E10" s="25">
        <v>1787796</v>
      </c>
      <c r="F10" s="24">
        <v>2011408</v>
      </c>
      <c r="G10" s="25">
        <v>2286824</v>
      </c>
      <c r="H10" s="24">
        <v>2711334</v>
      </c>
      <c r="I10" s="25">
        <v>3253337</v>
      </c>
      <c r="J10" s="24">
        <v>3992438</v>
      </c>
      <c r="K10" s="63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ht="15" x14ac:dyDescent="0.2">
      <c r="A11" s="23" t="s">
        <v>58</v>
      </c>
      <c r="B11" s="24">
        <v>1256085</v>
      </c>
      <c r="C11" s="25">
        <v>1547314</v>
      </c>
      <c r="D11" s="24">
        <v>1693575</v>
      </c>
      <c r="E11" s="25">
        <v>1839868</v>
      </c>
      <c r="F11" s="24">
        <v>2069993</v>
      </c>
      <c r="G11" s="25">
        <v>2353430</v>
      </c>
      <c r="H11" s="24">
        <v>2790305</v>
      </c>
      <c r="I11" s="25">
        <v>3348095</v>
      </c>
      <c r="J11" s="24">
        <v>4108723</v>
      </c>
      <c r="K11" s="63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" x14ac:dyDescent="0.2">
      <c r="A12" s="23" t="s">
        <v>59</v>
      </c>
      <c r="B12" s="24">
        <v>1291635</v>
      </c>
      <c r="C12" s="25">
        <v>1591106</v>
      </c>
      <c r="D12" s="24">
        <v>1741506</v>
      </c>
      <c r="E12" s="25">
        <v>1891940</v>
      </c>
      <c r="F12" s="24">
        <v>2128578</v>
      </c>
      <c r="G12" s="25">
        <v>2420037</v>
      </c>
      <c r="H12" s="24">
        <v>2869276</v>
      </c>
      <c r="I12" s="25">
        <v>3442852</v>
      </c>
      <c r="J12" s="24">
        <v>4225007</v>
      </c>
      <c r="K12" s="6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ht="15" x14ac:dyDescent="0.2">
      <c r="A13" s="23" t="s">
        <v>60</v>
      </c>
      <c r="B13" s="24">
        <v>1327184</v>
      </c>
      <c r="C13" s="25">
        <v>1634898</v>
      </c>
      <c r="D13" s="24">
        <v>1789437</v>
      </c>
      <c r="E13" s="25">
        <v>1944011</v>
      </c>
      <c r="F13" s="24">
        <v>2187162</v>
      </c>
      <c r="G13" s="25">
        <v>2486643</v>
      </c>
      <c r="H13" s="24">
        <v>2948247</v>
      </c>
      <c r="I13" s="25">
        <v>3537610</v>
      </c>
      <c r="J13" s="24">
        <v>4341292</v>
      </c>
      <c r="K13" s="63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15" x14ac:dyDescent="0.2">
      <c r="A14" s="23" t="s">
        <v>61</v>
      </c>
      <c r="B14" s="24">
        <v>1362734</v>
      </c>
      <c r="C14" s="25">
        <v>1678690</v>
      </c>
      <c r="D14" s="24">
        <v>1837369</v>
      </c>
      <c r="E14" s="25">
        <v>1996083</v>
      </c>
      <c r="F14" s="24">
        <v>2245747</v>
      </c>
      <c r="G14" s="25">
        <v>2553250</v>
      </c>
      <c r="H14" s="24">
        <v>3027218</v>
      </c>
      <c r="I14" s="25">
        <v>3632367</v>
      </c>
      <c r="J14" s="24">
        <v>4457577</v>
      </c>
      <c r="K14" s="6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5" x14ac:dyDescent="0.2">
      <c r="A15" s="23" t="s">
        <v>62</v>
      </c>
      <c r="B15" s="24">
        <v>1398283</v>
      </c>
      <c r="C15" s="25">
        <v>1722481</v>
      </c>
      <c r="D15" s="24">
        <v>1885300</v>
      </c>
      <c r="E15" s="25">
        <v>2048155</v>
      </c>
      <c r="F15" s="24">
        <v>2304332</v>
      </c>
      <c r="G15" s="25">
        <v>2619856</v>
      </c>
      <c r="H15" s="24">
        <v>3106189</v>
      </c>
      <c r="I15" s="25">
        <v>3727124</v>
      </c>
      <c r="J15" s="24">
        <v>4573861</v>
      </c>
      <c r="K15" s="63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15" x14ac:dyDescent="0.2">
      <c r="A16" s="23" t="s">
        <v>63</v>
      </c>
      <c r="B16" s="24">
        <v>1433833</v>
      </c>
      <c r="C16" s="25">
        <v>1766273</v>
      </c>
      <c r="D16" s="24">
        <v>1933232</v>
      </c>
      <c r="E16" s="25">
        <v>2100227</v>
      </c>
      <c r="F16" s="24">
        <v>2362916</v>
      </c>
      <c r="G16" s="25">
        <v>2686463</v>
      </c>
      <c r="H16" s="24">
        <v>3185160</v>
      </c>
      <c r="I16" s="25">
        <v>3821882</v>
      </c>
      <c r="J16" s="24">
        <v>4690146</v>
      </c>
      <c r="K16" s="63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5" x14ac:dyDescent="0.2">
      <c r="A17" s="23" t="s">
        <v>64</v>
      </c>
      <c r="B17" s="24">
        <v>1469383</v>
      </c>
      <c r="C17" s="25">
        <v>1810065</v>
      </c>
      <c r="D17" s="24">
        <v>1981163</v>
      </c>
      <c r="E17" s="25">
        <v>2152298</v>
      </c>
      <c r="F17" s="24">
        <v>2421501</v>
      </c>
      <c r="G17" s="25">
        <v>2753069</v>
      </c>
      <c r="H17" s="24">
        <v>3264131</v>
      </c>
      <c r="I17" s="25">
        <v>3916639</v>
      </c>
      <c r="J17" s="24">
        <v>4806430</v>
      </c>
      <c r="K17" s="63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5" x14ac:dyDescent="0.2">
      <c r="A18" s="23" t="s">
        <v>65</v>
      </c>
      <c r="B18" s="24">
        <v>1504932</v>
      </c>
      <c r="C18" s="25">
        <v>1853857</v>
      </c>
      <c r="D18" s="24">
        <v>2029094</v>
      </c>
      <c r="E18" s="25">
        <v>2204370</v>
      </c>
      <c r="F18" s="24">
        <v>2480086</v>
      </c>
      <c r="G18" s="25">
        <v>2819676</v>
      </c>
      <c r="H18" s="24">
        <v>3343102</v>
      </c>
      <c r="I18" s="25">
        <v>4011397</v>
      </c>
      <c r="J18" s="24">
        <v>4922715</v>
      </c>
      <c r="K18" s="63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15" x14ac:dyDescent="0.2">
      <c r="A19" s="23" t="s">
        <v>66</v>
      </c>
      <c r="B19" s="24">
        <v>1540482</v>
      </c>
      <c r="C19" s="25">
        <v>1897649</v>
      </c>
      <c r="D19" s="24">
        <v>2077026</v>
      </c>
      <c r="E19" s="25">
        <v>2256442</v>
      </c>
      <c r="F19" s="24">
        <v>2538671</v>
      </c>
      <c r="G19" s="25">
        <v>2886282</v>
      </c>
      <c r="H19" s="24">
        <v>3422073</v>
      </c>
      <c r="I19" s="25">
        <v>4106154</v>
      </c>
      <c r="J19" s="24">
        <v>5039000</v>
      </c>
      <c r="K19" s="63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15" x14ac:dyDescent="0.2">
      <c r="A20" s="23" t="s">
        <v>67</v>
      </c>
      <c r="B20" s="24">
        <v>1576031</v>
      </c>
      <c r="C20" s="25">
        <v>1941441</v>
      </c>
      <c r="D20" s="24">
        <v>2124957</v>
      </c>
      <c r="E20" s="25">
        <v>2308514</v>
      </c>
      <c r="F20" s="24">
        <v>2597255</v>
      </c>
      <c r="G20" s="25">
        <v>2952889</v>
      </c>
      <c r="H20" s="24">
        <v>3501043</v>
      </c>
      <c r="I20" s="25">
        <v>4200911</v>
      </c>
      <c r="J20" s="24">
        <v>5155284</v>
      </c>
      <c r="K20" s="63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15" x14ac:dyDescent="0.2">
      <c r="A21" s="23" t="s">
        <v>68</v>
      </c>
      <c r="B21" s="24">
        <v>1611581</v>
      </c>
      <c r="C21" s="25">
        <v>1985233</v>
      </c>
      <c r="D21" s="24">
        <v>2172888</v>
      </c>
      <c r="E21" s="25">
        <v>2360585</v>
      </c>
      <c r="F21" s="24">
        <v>2655840</v>
      </c>
      <c r="G21" s="25">
        <v>3019495</v>
      </c>
      <c r="H21" s="24">
        <v>3580014</v>
      </c>
      <c r="I21" s="25">
        <v>4295669</v>
      </c>
      <c r="J21" s="24">
        <v>5271569</v>
      </c>
      <c r="K21" s="63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15" x14ac:dyDescent="0.2">
      <c r="A22" s="23" t="s">
        <v>69</v>
      </c>
      <c r="B22" s="24">
        <v>1647131</v>
      </c>
      <c r="C22" s="25">
        <v>2029025</v>
      </c>
      <c r="D22" s="24">
        <v>2220820</v>
      </c>
      <c r="E22" s="25">
        <v>2412657</v>
      </c>
      <c r="F22" s="24">
        <v>2714425</v>
      </c>
      <c r="G22" s="25">
        <v>3086102</v>
      </c>
      <c r="H22" s="24">
        <v>3658985</v>
      </c>
      <c r="I22" s="25">
        <v>4390426</v>
      </c>
      <c r="J22" s="24">
        <v>5387853</v>
      </c>
      <c r="K22" s="6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15" x14ac:dyDescent="0.2">
      <c r="A23" s="23" t="s">
        <v>70</v>
      </c>
      <c r="B23" s="24">
        <v>1682680</v>
      </c>
      <c r="C23" s="25">
        <v>2072817</v>
      </c>
      <c r="D23" s="24">
        <v>2268751</v>
      </c>
      <c r="E23" s="25">
        <v>2464729</v>
      </c>
      <c r="F23" s="24">
        <v>2773009</v>
      </c>
      <c r="G23" s="25">
        <v>3152708</v>
      </c>
      <c r="H23" s="24">
        <v>3737956</v>
      </c>
      <c r="I23" s="25">
        <v>4485184</v>
      </c>
      <c r="J23" s="24">
        <v>5504138</v>
      </c>
      <c r="K23" s="6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15" x14ac:dyDescent="0.2">
      <c r="A24" s="23" t="s">
        <v>71</v>
      </c>
      <c r="B24" s="24">
        <v>1718230</v>
      </c>
      <c r="C24" s="25">
        <v>2116609</v>
      </c>
      <c r="D24" s="24">
        <v>2316682</v>
      </c>
      <c r="E24" s="25">
        <v>2516801</v>
      </c>
      <c r="F24" s="24">
        <v>2831594</v>
      </c>
      <c r="G24" s="25">
        <v>3219315</v>
      </c>
      <c r="H24" s="24">
        <v>3816927</v>
      </c>
      <c r="I24" s="25">
        <v>4579941</v>
      </c>
      <c r="J24" s="24">
        <v>5620423</v>
      </c>
      <c r="K24" s="6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5" x14ac:dyDescent="0.2">
      <c r="A25" s="23" t="s">
        <v>72</v>
      </c>
      <c r="B25" s="24">
        <v>1753779</v>
      </c>
      <c r="C25" s="25">
        <v>2160400</v>
      </c>
      <c r="D25" s="24">
        <v>2364614</v>
      </c>
      <c r="E25" s="25">
        <v>2568872</v>
      </c>
      <c r="F25" s="24">
        <v>2890179</v>
      </c>
      <c r="G25" s="25">
        <v>3285921</v>
      </c>
      <c r="H25" s="24">
        <v>3895898</v>
      </c>
      <c r="I25" s="25">
        <v>4674698</v>
      </c>
      <c r="J25" s="24">
        <v>5736707</v>
      </c>
      <c r="K25" s="63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15" x14ac:dyDescent="0.2">
      <c r="A26" s="23" t="s">
        <v>73</v>
      </c>
      <c r="B26" s="24">
        <v>1789329</v>
      </c>
      <c r="C26" s="25">
        <v>2204192</v>
      </c>
      <c r="D26" s="24">
        <v>2412545</v>
      </c>
      <c r="E26" s="25">
        <v>2620944</v>
      </c>
      <c r="F26" s="24">
        <v>2948763</v>
      </c>
      <c r="G26" s="25">
        <v>3352528</v>
      </c>
      <c r="H26" s="24">
        <v>3974869</v>
      </c>
      <c r="I26" s="25">
        <v>4769456</v>
      </c>
      <c r="J26" s="24">
        <v>5852992</v>
      </c>
      <c r="K26" s="63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5" x14ac:dyDescent="0.2">
      <c r="A27" s="23" t="s">
        <v>74</v>
      </c>
      <c r="B27" s="24">
        <v>1824878</v>
      </c>
      <c r="C27" s="25">
        <v>2247984</v>
      </c>
      <c r="D27" s="24">
        <v>2460476</v>
      </c>
      <c r="E27" s="25">
        <v>2673016</v>
      </c>
      <c r="F27" s="24">
        <v>3007348</v>
      </c>
      <c r="G27" s="25">
        <v>3419134</v>
      </c>
      <c r="H27" s="24">
        <v>4053840</v>
      </c>
      <c r="I27" s="25">
        <v>4864213</v>
      </c>
      <c r="J27" s="24">
        <v>5969276</v>
      </c>
      <c r="K27" s="63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15" x14ac:dyDescent="0.2">
      <c r="A28" s="23" t="s">
        <v>75</v>
      </c>
      <c r="B28" s="24">
        <v>1860428</v>
      </c>
      <c r="C28" s="25">
        <v>2291776</v>
      </c>
      <c r="D28" s="24">
        <v>2508408</v>
      </c>
      <c r="E28" s="25">
        <v>2725087</v>
      </c>
      <c r="F28" s="24">
        <v>3065933</v>
      </c>
      <c r="G28" s="25">
        <v>3485741</v>
      </c>
      <c r="H28" s="24">
        <v>4132811</v>
      </c>
      <c r="I28" s="25">
        <v>4958971</v>
      </c>
      <c r="J28" s="24">
        <v>6085561</v>
      </c>
      <c r="K28" s="63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5" x14ac:dyDescent="0.2">
      <c r="A29" s="23" t="s">
        <v>76</v>
      </c>
      <c r="B29" s="24">
        <v>1895978</v>
      </c>
      <c r="C29" s="25">
        <v>2335568</v>
      </c>
      <c r="D29" s="24">
        <v>2556339</v>
      </c>
      <c r="E29" s="25">
        <v>2777159</v>
      </c>
      <c r="F29" s="24">
        <v>3124518</v>
      </c>
      <c r="G29" s="25">
        <v>3552347</v>
      </c>
      <c r="H29" s="24">
        <v>4211782</v>
      </c>
      <c r="I29" s="25">
        <v>5053728</v>
      </c>
      <c r="J29" s="24">
        <v>6201846</v>
      </c>
      <c r="K29" s="63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15" x14ac:dyDescent="0.2">
      <c r="A30" s="23" t="s">
        <v>77</v>
      </c>
      <c r="B30" s="24">
        <v>1931527</v>
      </c>
      <c r="C30" s="25">
        <v>2379360</v>
      </c>
      <c r="D30" s="24">
        <v>2604271</v>
      </c>
      <c r="E30" s="25">
        <v>2829231</v>
      </c>
      <c r="F30" s="24">
        <v>3183102</v>
      </c>
      <c r="G30" s="25">
        <v>3618954</v>
      </c>
      <c r="H30" s="24">
        <v>4290753</v>
      </c>
      <c r="I30" s="25">
        <v>5148485</v>
      </c>
      <c r="J30" s="24">
        <v>6318130</v>
      </c>
      <c r="K30" s="6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15" x14ac:dyDescent="0.2">
      <c r="A31" s="23" t="s">
        <v>78</v>
      </c>
      <c r="B31" s="24">
        <v>1967077</v>
      </c>
      <c r="C31" s="25">
        <v>2423152</v>
      </c>
      <c r="D31" s="24">
        <v>2652202</v>
      </c>
      <c r="E31" s="25">
        <v>2881303</v>
      </c>
      <c r="F31" s="24">
        <v>3241687</v>
      </c>
      <c r="G31" s="25">
        <v>3685560</v>
      </c>
      <c r="H31" s="24">
        <v>4369723</v>
      </c>
      <c r="I31" s="25">
        <v>5243243</v>
      </c>
      <c r="J31" s="24">
        <v>6434415</v>
      </c>
      <c r="K31" s="63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15" x14ac:dyDescent="0.2">
      <c r="A32" s="23" t="s">
        <v>79</v>
      </c>
      <c r="B32" s="24">
        <v>2002626</v>
      </c>
      <c r="C32" s="25">
        <v>2466944</v>
      </c>
      <c r="D32" s="24">
        <v>2700133</v>
      </c>
      <c r="E32" s="25">
        <v>2933374</v>
      </c>
      <c r="F32" s="24">
        <v>3300272</v>
      </c>
      <c r="G32" s="25">
        <v>3752167</v>
      </c>
      <c r="H32" s="24">
        <v>4448694</v>
      </c>
      <c r="I32" s="25">
        <v>5338000</v>
      </c>
      <c r="J32" s="24">
        <v>6550699</v>
      </c>
      <c r="K32" s="63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ht="15" x14ac:dyDescent="0.2">
      <c r="A33" s="23" t="s">
        <v>80</v>
      </c>
      <c r="B33" s="24">
        <v>2038176</v>
      </c>
      <c r="C33" s="25">
        <v>2510736</v>
      </c>
      <c r="D33" s="24">
        <v>2748065</v>
      </c>
      <c r="E33" s="25">
        <v>2985446</v>
      </c>
      <c r="F33" s="24">
        <v>3358856</v>
      </c>
      <c r="G33" s="25">
        <v>3818773</v>
      </c>
      <c r="H33" s="24">
        <v>4527665</v>
      </c>
      <c r="I33" s="25">
        <v>5432758</v>
      </c>
      <c r="J33" s="24">
        <v>6666984</v>
      </c>
      <c r="K33" s="6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ht="15" x14ac:dyDescent="0.2">
      <c r="A34" s="23" t="s">
        <v>81</v>
      </c>
      <c r="B34" s="24">
        <v>2073726</v>
      </c>
      <c r="C34" s="25">
        <v>2554528</v>
      </c>
      <c r="D34" s="24">
        <v>2795996</v>
      </c>
      <c r="E34" s="25">
        <v>3037518</v>
      </c>
      <c r="F34" s="24">
        <v>3417441</v>
      </c>
      <c r="G34" s="25">
        <v>3885380</v>
      </c>
      <c r="H34" s="24">
        <v>4606636</v>
      </c>
      <c r="I34" s="25">
        <v>5527515</v>
      </c>
      <c r="J34" s="24">
        <v>6783269</v>
      </c>
      <c r="K34" s="63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</sheetData>
  <printOptions horizontalCentered="1"/>
  <pageMargins left="0.196527777777778" right="0.196527777777778" top="0.78749999999999998" bottom="0.196527777777778" header="0.39374999999999999" footer="0.51180555555555496"/>
  <pageSetup paperSize="0" scale="0" firstPageNumber="0" orientation="portrait" usePrinterDefaults="0" horizontalDpi="0" verticalDpi="0" copies="0"/>
  <headerFooter>
    <oddHeader>&amp;C&amp;"Comic Sans MS,Fett"&amp;12Gehaltstabellen von 01.07.2000 bis 30.06.2001 / Tabelle stipendiali dal 01.07.2000 al 30.06.2001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zoomScaleNormal="100" workbookViewId="0">
      <selection activeCell="M11" sqref="M11"/>
    </sheetView>
  </sheetViews>
  <sheetFormatPr baseColWidth="10" defaultColWidth="9.140625" defaultRowHeight="12.75" x14ac:dyDescent="0.2"/>
  <cols>
    <col min="1" max="1" width="24.42578125"/>
    <col min="2" max="3" width="11.5703125"/>
    <col min="4" max="4" width="12.140625"/>
    <col min="5" max="10" width="11.5703125"/>
    <col min="11" max="256" width="11.28515625"/>
    <col min="257" max="1025" width="11.5703125"/>
  </cols>
  <sheetData>
    <row r="1" spans="1:256" ht="15.75" x14ac:dyDescent="0.25">
      <c r="A1" s="77"/>
      <c r="B1" s="9" t="s">
        <v>44</v>
      </c>
      <c r="C1" s="40" t="s">
        <v>45</v>
      </c>
      <c r="D1" s="9" t="s">
        <v>46</v>
      </c>
      <c r="E1" s="40" t="s">
        <v>47</v>
      </c>
      <c r="F1" s="9" t="s">
        <v>48</v>
      </c>
      <c r="G1" s="40" t="s">
        <v>49</v>
      </c>
      <c r="H1" s="9" t="s">
        <v>50</v>
      </c>
      <c r="I1" s="40" t="s">
        <v>51</v>
      </c>
      <c r="J1" s="9" t="s">
        <v>52</v>
      </c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</row>
    <row r="2" spans="1:256" ht="15" x14ac:dyDescent="0.2">
      <c r="A2" s="81" t="s">
        <v>10</v>
      </c>
      <c r="B2" s="81"/>
      <c r="C2" s="69"/>
      <c r="D2" s="81"/>
      <c r="E2" s="69"/>
      <c r="F2" s="81"/>
      <c r="G2" s="69"/>
      <c r="H2" s="81"/>
      <c r="I2" s="69"/>
      <c r="J2" s="81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</row>
    <row r="3" spans="1:256" ht="15.75" x14ac:dyDescent="0.25">
      <c r="A3" s="100" t="s">
        <v>11</v>
      </c>
      <c r="B3" s="47">
        <v>478.32</v>
      </c>
      <c r="C3" s="49">
        <v>588.55999999999995</v>
      </c>
      <c r="D3" s="47">
        <v>639.54</v>
      </c>
      <c r="E3" s="49">
        <v>690.53</v>
      </c>
      <c r="F3" s="47">
        <v>777.33</v>
      </c>
      <c r="G3" s="49">
        <v>867.27</v>
      </c>
      <c r="H3" s="47">
        <v>1028.82</v>
      </c>
      <c r="I3" s="49">
        <v>1256.8800000000001</v>
      </c>
      <c r="J3" s="47">
        <v>1501.41</v>
      </c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</row>
    <row r="4" spans="1:256" ht="15" x14ac:dyDescent="0.2">
      <c r="A4" s="101" t="s">
        <v>53</v>
      </c>
      <c r="B4" s="50">
        <f t="shared" ref="B4:J4" si="0">B$3+B$3*6/100</f>
        <v>507.01920000000001</v>
      </c>
      <c r="C4" s="52">
        <f t="shared" si="0"/>
        <v>623.8735999999999</v>
      </c>
      <c r="D4" s="50">
        <f t="shared" si="0"/>
        <v>677.91239999999993</v>
      </c>
      <c r="E4" s="52">
        <f t="shared" si="0"/>
        <v>731.96179999999993</v>
      </c>
      <c r="F4" s="50">
        <f t="shared" si="0"/>
        <v>823.96980000000008</v>
      </c>
      <c r="G4" s="52">
        <f t="shared" si="0"/>
        <v>919.30619999999999</v>
      </c>
      <c r="H4" s="50">
        <f t="shared" si="0"/>
        <v>1090.5491999999999</v>
      </c>
      <c r="I4" s="52">
        <f t="shared" si="0"/>
        <v>1332.2928000000002</v>
      </c>
      <c r="J4" s="50">
        <f t="shared" si="0"/>
        <v>1591.4946</v>
      </c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</row>
    <row r="5" spans="1:256" ht="15" x14ac:dyDescent="0.2">
      <c r="A5" s="101" t="s">
        <v>54</v>
      </c>
      <c r="B5" s="50">
        <f t="shared" ref="B5:J5" si="1">B$3+B$3*6/100*2</f>
        <v>535.71839999999997</v>
      </c>
      <c r="C5" s="52">
        <f t="shared" si="1"/>
        <v>659.18719999999996</v>
      </c>
      <c r="D5" s="50">
        <f t="shared" si="1"/>
        <v>716.2847999999999</v>
      </c>
      <c r="E5" s="52">
        <f t="shared" si="1"/>
        <v>773.39359999999999</v>
      </c>
      <c r="F5" s="50">
        <f t="shared" si="1"/>
        <v>870.6096</v>
      </c>
      <c r="G5" s="52">
        <f t="shared" si="1"/>
        <v>971.3424</v>
      </c>
      <c r="H5" s="50">
        <f t="shared" si="1"/>
        <v>1152.2783999999999</v>
      </c>
      <c r="I5" s="52">
        <f t="shared" si="1"/>
        <v>1407.7056000000002</v>
      </c>
      <c r="J5" s="50">
        <f t="shared" si="1"/>
        <v>1681.5792000000001</v>
      </c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</row>
    <row r="6" spans="1:256" ht="15" x14ac:dyDescent="0.2">
      <c r="A6" s="101" t="s">
        <v>55</v>
      </c>
      <c r="B6" s="50">
        <f t="shared" ref="B6:J6" si="2">B$3+B$3*6/100*3</f>
        <v>564.41759999999999</v>
      </c>
      <c r="C6" s="52">
        <f t="shared" si="2"/>
        <v>694.50079999999991</v>
      </c>
      <c r="D6" s="50">
        <f t="shared" si="2"/>
        <v>754.65719999999999</v>
      </c>
      <c r="E6" s="52">
        <f t="shared" si="2"/>
        <v>814.82539999999995</v>
      </c>
      <c r="F6" s="50">
        <f t="shared" si="2"/>
        <v>917.24940000000004</v>
      </c>
      <c r="G6" s="52">
        <f t="shared" si="2"/>
        <v>1023.3786</v>
      </c>
      <c r="H6" s="50">
        <f t="shared" si="2"/>
        <v>1214.0075999999999</v>
      </c>
      <c r="I6" s="52">
        <f t="shared" si="2"/>
        <v>1483.1184000000001</v>
      </c>
      <c r="J6" s="50">
        <f t="shared" si="2"/>
        <v>1771.6638</v>
      </c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</row>
    <row r="7" spans="1:256" ht="15" x14ac:dyDescent="0.2">
      <c r="A7" s="89"/>
      <c r="B7" s="89"/>
      <c r="C7" s="102"/>
      <c r="D7" s="89"/>
      <c r="E7" s="102"/>
      <c r="F7" s="89"/>
      <c r="G7" s="102"/>
      <c r="H7" s="89"/>
      <c r="I7" s="102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</row>
    <row r="8" spans="1:256" ht="15" x14ac:dyDescent="0.2">
      <c r="A8" s="83" t="s">
        <v>56</v>
      </c>
      <c r="B8" s="83"/>
      <c r="C8" s="103"/>
      <c r="D8" s="83"/>
      <c r="E8" s="103"/>
      <c r="F8" s="83"/>
      <c r="G8" s="103"/>
      <c r="H8" s="83"/>
      <c r="I8" s="10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  <c r="IV8" s="83"/>
    </row>
    <row r="9" spans="1:256" ht="15.75" x14ac:dyDescent="0.25">
      <c r="A9" s="100" t="s">
        <v>11</v>
      </c>
      <c r="B9" s="47">
        <v>611.99</v>
      </c>
      <c r="C9" s="49">
        <v>753.89</v>
      </c>
      <c r="D9" s="47">
        <v>825.15</v>
      </c>
      <c r="E9" s="49">
        <v>896.43</v>
      </c>
      <c r="F9" s="47">
        <v>1008.55</v>
      </c>
      <c r="G9" s="49">
        <v>1146.6500000000001</v>
      </c>
      <c r="H9" s="47">
        <v>1359.5</v>
      </c>
      <c r="I9" s="49">
        <v>1631.27</v>
      </c>
      <c r="J9" s="47">
        <v>2001.87</v>
      </c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</row>
    <row r="10" spans="1:256" ht="15" x14ac:dyDescent="0.2">
      <c r="A10" s="101" t="s">
        <v>57</v>
      </c>
      <c r="B10" s="50">
        <f t="shared" ref="B10:J10" si="3">B$9+B$9*3/100*1</f>
        <v>630.34969999999998</v>
      </c>
      <c r="C10" s="52">
        <f t="shared" si="3"/>
        <v>776.50670000000002</v>
      </c>
      <c r="D10" s="50">
        <f t="shared" si="3"/>
        <v>849.90449999999998</v>
      </c>
      <c r="E10" s="52">
        <f t="shared" si="3"/>
        <v>923.3229</v>
      </c>
      <c r="F10" s="50">
        <f t="shared" si="3"/>
        <v>1038.8064999999999</v>
      </c>
      <c r="G10" s="52">
        <f t="shared" si="3"/>
        <v>1181.0495000000001</v>
      </c>
      <c r="H10" s="50">
        <f t="shared" si="3"/>
        <v>1400.2850000000001</v>
      </c>
      <c r="I10" s="52">
        <f t="shared" si="3"/>
        <v>1680.2081000000001</v>
      </c>
      <c r="J10" s="50">
        <f t="shared" si="3"/>
        <v>2061.9260999999997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</row>
    <row r="11" spans="1:256" ht="15" x14ac:dyDescent="0.2">
      <c r="A11" s="101" t="s">
        <v>58</v>
      </c>
      <c r="B11" s="50">
        <f t="shared" ref="B11:J11" si="4">B$9+B$9*3/100*2</f>
        <v>648.70939999999996</v>
      </c>
      <c r="C11" s="52">
        <f t="shared" si="4"/>
        <v>799.12339999999995</v>
      </c>
      <c r="D11" s="50">
        <f t="shared" si="4"/>
        <v>874.65899999999999</v>
      </c>
      <c r="E11" s="52">
        <f t="shared" si="4"/>
        <v>950.21579999999994</v>
      </c>
      <c r="F11" s="50">
        <f t="shared" si="4"/>
        <v>1069.0629999999999</v>
      </c>
      <c r="G11" s="52">
        <f t="shared" si="4"/>
        <v>1215.4490000000001</v>
      </c>
      <c r="H11" s="50">
        <f t="shared" si="4"/>
        <v>1441.07</v>
      </c>
      <c r="I11" s="52">
        <f t="shared" si="4"/>
        <v>1729.1461999999999</v>
      </c>
      <c r="J11" s="50">
        <f t="shared" si="4"/>
        <v>2121.9821999999999</v>
      </c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  <c r="IV11" s="89"/>
    </row>
    <row r="12" spans="1:256" ht="15" x14ac:dyDescent="0.2">
      <c r="A12" s="101" t="s">
        <v>59</v>
      </c>
      <c r="B12" s="50">
        <f t="shared" ref="B12:J12" si="5">B$9+B$9*3/100*3</f>
        <v>667.06910000000005</v>
      </c>
      <c r="C12" s="52">
        <f t="shared" si="5"/>
        <v>821.74009999999998</v>
      </c>
      <c r="D12" s="50">
        <f t="shared" si="5"/>
        <v>899.4135</v>
      </c>
      <c r="E12" s="52">
        <f t="shared" si="5"/>
        <v>977.1087</v>
      </c>
      <c r="F12" s="50">
        <f t="shared" si="5"/>
        <v>1099.3195000000001</v>
      </c>
      <c r="G12" s="52">
        <f t="shared" si="5"/>
        <v>1249.8485000000001</v>
      </c>
      <c r="H12" s="50">
        <f t="shared" si="5"/>
        <v>1481.855</v>
      </c>
      <c r="I12" s="52">
        <f t="shared" si="5"/>
        <v>1778.0843</v>
      </c>
      <c r="J12" s="50">
        <f t="shared" si="5"/>
        <v>2182.0382999999997</v>
      </c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  <c r="IV12" s="89"/>
    </row>
    <row r="13" spans="1:256" ht="15" x14ac:dyDescent="0.2">
      <c r="A13" s="101" t="s">
        <v>60</v>
      </c>
      <c r="B13" s="50">
        <f t="shared" ref="B13:J13" si="6">B$9+B$9*3/100*4</f>
        <v>685.42880000000002</v>
      </c>
      <c r="C13" s="52">
        <f t="shared" si="6"/>
        <v>844.35680000000002</v>
      </c>
      <c r="D13" s="50">
        <f t="shared" si="6"/>
        <v>924.16800000000001</v>
      </c>
      <c r="E13" s="52">
        <f t="shared" si="6"/>
        <v>1004.0015999999999</v>
      </c>
      <c r="F13" s="50">
        <f t="shared" si="6"/>
        <v>1129.576</v>
      </c>
      <c r="G13" s="52">
        <f t="shared" si="6"/>
        <v>1284.248</v>
      </c>
      <c r="H13" s="50">
        <f t="shared" si="6"/>
        <v>1522.6399999999999</v>
      </c>
      <c r="I13" s="52">
        <f t="shared" si="6"/>
        <v>1827.0223999999998</v>
      </c>
      <c r="J13" s="50">
        <f t="shared" si="6"/>
        <v>2242.0944</v>
      </c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  <c r="IV13" s="89"/>
    </row>
    <row r="14" spans="1:256" ht="15" x14ac:dyDescent="0.2">
      <c r="A14" s="101" t="s">
        <v>61</v>
      </c>
      <c r="B14" s="50">
        <f t="shared" ref="B14:J14" si="7">B$9+B$9*3/100*5</f>
        <v>703.7885</v>
      </c>
      <c r="C14" s="52">
        <f t="shared" si="7"/>
        <v>866.97350000000006</v>
      </c>
      <c r="D14" s="50">
        <f t="shared" si="7"/>
        <v>948.9224999999999</v>
      </c>
      <c r="E14" s="52">
        <f t="shared" si="7"/>
        <v>1030.8944999999999</v>
      </c>
      <c r="F14" s="50">
        <f t="shared" si="7"/>
        <v>1159.8325</v>
      </c>
      <c r="G14" s="52">
        <f t="shared" si="7"/>
        <v>1318.6475</v>
      </c>
      <c r="H14" s="50">
        <f t="shared" si="7"/>
        <v>1563.425</v>
      </c>
      <c r="I14" s="52">
        <f t="shared" si="7"/>
        <v>1875.9604999999999</v>
      </c>
      <c r="J14" s="50">
        <f t="shared" si="7"/>
        <v>2302.1504999999997</v>
      </c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  <c r="IV14" s="89"/>
    </row>
    <row r="15" spans="1:256" ht="15" x14ac:dyDescent="0.2">
      <c r="A15" s="101" t="s">
        <v>62</v>
      </c>
      <c r="B15" s="50">
        <f t="shared" ref="B15:J15" si="8">B$9+B$9*3/100*6</f>
        <v>722.14819999999997</v>
      </c>
      <c r="C15" s="52">
        <f t="shared" si="8"/>
        <v>889.59019999999998</v>
      </c>
      <c r="D15" s="50">
        <f t="shared" si="8"/>
        <v>973.67699999999991</v>
      </c>
      <c r="E15" s="52">
        <f t="shared" si="8"/>
        <v>1057.7873999999999</v>
      </c>
      <c r="F15" s="50">
        <f t="shared" si="8"/>
        <v>1190.0889999999999</v>
      </c>
      <c r="G15" s="52">
        <f t="shared" si="8"/>
        <v>1353.047</v>
      </c>
      <c r="H15" s="50">
        <f t="shared" si="8"/>
        <v>1604.21</v>
      </c>
      <c r="I15" s="52">
        <f t="shared" si="8"/>
        <v>1924.8986</v>
      </c>
      <c r="J15" s="50">
        <f t="shared" si="8"/>
        <v>2362.2066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</row>
    <row r="16" spans="1:256" ht="15" x14ac:dyDescent="0.2">
      <c r="A16" s="101" t="s">
        <v>63</v>
      </c>
      <c r="B16" s="50">
        <f t="shared" ref="B16:J16" si="9">B$9+B$9*3/100*7</f>
        <v>740.50790000000006</v>
      </c>
      <c r="C16" s="52">
        <f t="shared" si="9"/>
        <v>912.20690000000002</v>
      </c>
      <c r="D16" s="50">
        <f t="shared" si="9"/>
        <v>998.43149999999991</v>
      </c>
      <c r="E16" s="52">
        <f t="shared" si="9"/>
        <v>1084.6803</v>
      </c>
      <c r="F16" s="50">
        <f t="shared" si="9"/>
        <v>1220.3454999999999</v>
      </c>
      <c r="G16" s="52">
        <f t="shared" si="9"/>
        <v>1387.4465</v>
      </c>
      <c r="H16" s="50">
        <f t="shared" si="9"/>
        <v>1644.9949999999999</v>
      </c>
      <c r="I16" s="52">
        <f t="shared" si="9"/>
        <v>1973.8366999999998</v>
      </c>
      <c r="J16" s="50">
        <f t="shared" si="9"/>
        <v>2422.2626999999998</v>
      </c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89"/>
      <c r="IV16" s="89"/>
    </row>
    <row r="17" spans="1:256" ht="15" x14ac:dyDescent="0.2">
      <c r="A17" s="101" t="s">
        <v>64</v>
      </c>
      <c r="B17" s="50">
        <f t="shared" ref="B17:J17" si="10">B$9+B$9*3/100*8</f>
        <v>758.86760000000004</v>
      </c>
      <c r="C17" s="52">
        <f t="shared" si="10"/>
        <v>934.82359999999994</v>
      </c>
      <c r="D17" s="50">
        <f t="shared" si="10"/>
        <v>1023.1859999999999</v>
      </c>
      <c r="E17" s="52">
        <f t="shared" si="10"/>
        <v>1111.5732</v>
      </c>
      <c r="F17" s="50">
        <f t="shared" si="10"/>
        <v>1250.6019999999999</v>
      </c>
      <c r="G17" s="52">
        <f t="shared" si="10"/>
        <v>1421.846</v>
      </c>
      <c r="H17" s="50">
        <f t="shared" si="10"/>
        <v>1685.78</v>
      </c>
      <c r="I17" s="52">
        <f t="shared" si="10"/>
        <v>2022.7747999999999</v>
      </c>
      <c r="J17" s="50">
        <f t="shared" si="10"/>
        <v>2482.3188</v>
      </c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</row>
    <row r="18" spans="1:256" ht="15" x14ac:dyDescent="0.2">
      <c r="A18" s="101" t="s">
        <v>65</v>
      </c>
      <c r="B18" s="50">
        <f t="shared" ref="B18:J18" si="11">B$9+B$9*3/100*9</f>
        <v>777.22730000000001</v>
      </c>
      <c r="C18" s="52">
        <f t="shared" si="11"/>
        <v>957.44029999999998</v>
      </c>
      <c r="D18" s="50">
        <f t="shared" si="11"/>
        <v>1047.9404999999999</v>
      </c>
      <c r="E18" s="52">
        <f t="shared" si="11"/>
        <v>1138.4660999999999</v>
      </c>
      <c r="F18" s="50">
        <f t="shared" si="11"/>
        <v>1280.8584999999998</v>
      </c>
      <c r="G18" s="52">
        <f t="shared" si="11"/>
        <v>1456.2455</v>
      </c>
      <c r="H18" s="50">
        <f t="shared" si="11"/>
        <v>1726.5650000000001</v>
      </c>
      <c r="I18" s="52">
        <f t="shared" si="11"/>
        <v>2071.7129</v>
      </c>
      <c r="J18" s="50">
        <f t="shared" si="11"/>
        <v>2542.3748999999998</v>
      </c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  <c r="IV18" s="89"/>
    </row>
    <row r="19" spans="1:256" ht="15" x14ac:dyDescent="0.2">
      <c r="A19" s="101" t="s">
        <v>66</v>
      </c>
      <c r="B19" s="50">
        <f t="shared" ref="B19:J19" si="12">B$9+B$9*3/100*10</f>
        <v>795.58699999999999</v>
      </c>
      <c r="C19" s="52">
        <f t="shared" si="12"/>
        <v>980.05700000000002</v>
      </c>
      <c r="D19" s="50">
        <f t="shared" si="12"/>
        <v>1072.6949999999999</v>
      </c>
      <c r="E19" s="52">
        <f t="shared" si="12"/>
        <v>1165.3589999999999</v>
      </c>
      <c r="F19" s="50">
        <f t="shared" si="12"/>
        <v>1311.1149999999998</v>
      </c>
      <c r="G19" s="52">
        <f t="shared" si="12"/>
        <v>1490.645</v>
      </c>
      <c r="H19" s="50">
        <f t="shared" si="12"/>
        <v>1767.35</v>
      </c>
      <c r="I19" s="52">
        <f t="shared" si="12"/>
        <v>2120.6509999999998</v>
      </c>
      <c r="J19" s="50">
        <f t="shared" si="12"/>
        <v>2602.4309999999996</v>
      </c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  <c r="IV19" s="89"/>
    </row>
    <row r="20" spans="1:256" ht="15" x14ac:dyDescent="0.2">
      <c r="A20" s="101" t="s">
        <v>67</v>
      </c>
      <c r="B20" s="50">
        <f t="shared" ref="B20:J20" si="13">B$9+B$9*3/100*11</f>
        <v>813.94669999999996</v>
      </c>
      <c r="C20" s="52">
        <f t="shared" si="13"/>
        <v>1002.6737000000001</v>
      </c>
      <c r="D20" s="50">
        <f t="shared" si="13"/>
        <v>1097.4494999999999</v>
      </c>
      <c r="E20" s="52">
        <f t="shared" si="13"/>
        <v>1192.2519</v>
      </c>
      <c r="F20" s="50">
        <f t="shared" si="13"/>
        <v>1341.3715</v>
      </c>
      <c r="G20" s="52">
        <f t="shared" si="13"/>
        <v>1525.0445000000002</v>
      </c>
      <c r="H20" s="50">
        <f t="shared" si="13"/>
        <v>1808.135</v>
      </c>
      <c r="I20" s="52">
        <f t="shared" si="13"/>
        <v>2169.5891000000001</v>
      </c>
      <c r="J20" s="50">
        <f t="shared" si="13"/>
        <v>2662.4870999999998</v>
      </c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  <c r="IV20" s="89"/>
    </row>
    <row r="21" spans="1:256" ht="15" x14ac:dyDescent="0.2">
      <c r="A21" s="101" t="s">
        <v>68</v>
      </c>
      <c r="B21" s="50">
        <f t="shared" ref="B21:J21" si="14">B$9+B$9*3/100*12</f>
        <v>832.30639999999994</v>
      </c>
      <c r="C21" s="52">
        <f t="shared" si="14"/>
        <v>1025.2903999999999</v>
      </c>
      <c r="D21" s="50">
        <f t="shared" si="14"/>
        <v>1122.204</v>
      </c>
      <c r="E21" s="52">
        <f t="shared" si="14"/>
        <v>1219.1448</v>
      </c>
      <c r="F21" s="50">
        <f t="shared" si="14"/>
        <v>1371.6279999999999</v>
      </c>
      <c r="G21" s="52">
        <f t="shared" si="14"/>
        <v>1559.4440000000002</v>
      </c>
      <c r="H21" s="50">
        <f t="shared" si="14"/>
        <v>1848.92</v>
      </c>
      <c r="I21" s="52">
        <f t="shared" si="14"/>
        <v>2218.5272</v>
      </c>
      <c r="J21" s="50">
        <f t="shared" si="14"/>
        <v>2722.5432000000001</v>
      </c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  <c r="IV21" s="89"/>
    </row>
    <row r="22" spans="1:256" ht="15" x14ac:dyDescent="0.2">
      <c r="A22" s="101" t="s">
        <v>69</v>
      </c>
      <c r="B22" s="50">
        <f t="shared" ref="B22:J22" si="15">B$9+B$9*3/100*13</f>
        <v>850.66610000000003</v>
      </c>
      <c r="C22" s="52">
        <f t="shared" si="15"/>
        <v>1047.9070999999999</v>
      </c>
      <c r="D22" s="50">
        <f t="shared" si="15"/>
        <v>1146.9585</v>
      </c>
      <c r="E22" s="52">
        <f t="shared" si="15"/>
        <v>1246.0376999999999</v>
      </c>
      <c r="F22" s="50">
        <f t="shared" si="15"/>
        <v>1401.8844999999999</v>
      </c>
      <c r="G22" s="52">
        <f t="shared" si="15"/>
        <v>1593.8435000000002</v>
      </c>
      <c r="H22" s="50">
        <f t="shared" si="15"/>
        <v>1889.7049999999999</v>
      </c>
      <c r="I22" s="52">
        <f t="shared" si="15"/>
        <v>2267.4652999999998</v>
      </c>
      <c r="J22" s="50">
        <f t="shared" si="15"/>
        <v>2782.5992999999999</v>
      </c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  <c r="IV22" s="89"/>
    </row>
    <row r="23" spans="1:256" ht="15" x14ac:dyDescent="0.2">
      <c r="A23" s="101" t="s">
        <v>70</v>
      </c>
      <c r="B23" s="50">
        <f t="shared" ref="B23:J23" si="16">B$9+B$9*3/100*14</f>
        <v>869.0258</v>
      </c>
      <c r="C23" s="52">
        <f t="shared" si="16"/>
        <v>1070.5237999999999</v>
      </c>
      <c r="D23" s="50">
        <f t="shared" si="16"/>
        <v>1171.713</v>
      </c>
      <c r="E23" s="52">
        <f t="shared" si="16"/>
        <v>1272.9305999999999</v>
      </c>
      <c r="F23" s="50">
        <f t="shared" si="16"/>
        <v>1432.1409999999998</v>
      </c>
      <c r="G23" s="52">
        <f t="shared" si="16"/>
        <v>1628.2430000000002</v>
      </c>
      <c r="H23" s="50">
        <f t="shared" si="16"/>
        <v>1930.49</v>
      </c>
      <c r="I23" s="52">
        <f t="shared" si="16"/>
        <v>2316.4034000000001</v>
      </c>
      <c r="J23" s="50">
        <f t="shared" si="16"/>
        <v>2842.6553999999996</v>
      </c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  <c r="IR23" s="89"/>
      <c r="IS23" s="89"/>
      <c r="IT23" s="89"/>
      <c r="IU23" s="89"/>
      <c r="IV23" s="89"/>
    </row>
    <row r="24" spans="1:256" ht="15" x14ac:dyDescent="0.2">
      <c r="A24" s="101" t="s">
        <v>71</v>
      </c>
      <c r="B24" s="50">
        <f t="shared" ref="B24:J24" si="17">B$9+B$9*3/100*15</f>
        <v>887.38550000000009</v>
      </c>
      <c r="C24" s="52">
        <f t="shared" si="17"/>
        <v>1093.1405</v>
      </c>
      <c r="D24" s="50">
        <f t="shared" si="17"/>
        <v>1196.4675</v>
      </c>
      <c r="E24" s="52">
        <f t="shared" si="17"/>
        <v>1299.8235</v>
      </c>
      <c r="F24" s="50">
        <f t="shared" si="17"/>
        <v>1462.3974999999998</v>
      </c>
      <c r="G24" s="52">
        <f t="shared" si="17"/>
        <v>1662.6425000000002</v>
      </c>
      <c r="H24" s="50">
        <f t="shared" si="17"/>
        <v>1971.2750000000001</v>
      </c>
      <c r="I24" s="52">
        <f t="shared" si="17"/>
        <v>2365.3415</v>
      </c>
      <c r="J24" s="50">
        <f t="shared" si="17"/>
        <v>2902.7114999999999</v>
      </c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  <c r="IR24" s="89"/>
      <c r="IS24" s="89"/>
      <c r="IT24" s="89"/>
      <c r="IU24" s="89"/>
      <c r="IV24" s="89"/>
    </row>
    <row r="25" spans="1:256" ht="15" x14ac:dyDescent="0.2">
      <c r="A25" s="101" t="s">
        <v>72</v>
      </c>
      <c r="B25" s="50">
        <f t="shared" ref="B25:J25" si="18">B$9+B$9*3/100*16</f>
        <v>905.74520000000007</v>
      </c>
      <c r="C25" s="52">
        <f t="shared" si="18"/>
        <v>1115.7572</v>
      </c>
      <c r="D25" s="50">
        <f t="shared" si="18"/>
        <v>1221.222</v>
      </c>
      <c r="E25" s="52">
        <f t="shared" si="18"/>
        <v>1326.7164</v>
      </c>
      <c r="F25" s="50">
        <f t="shared" si="18"/>
        <v>1492.654</v>
      </c>
      <c r="G25" s="52">
        <f t="shared" si="18"/>
        <v>1697.0420000000001</v>
      </c>
      <c r="H25" s="50">
        <f t="shared" si="18"/>
        <v>2012.06</v>
      </c>
      <c r="I25" s="52">
        <f t="shared" si="18"/>
        <v>2414.2795999999998</v>
      </c>
      <c r="J25" s="50">
        <f t="shared" si="18"/>
        <v>2962.7675999999997</v>
      </c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  <c r="IR25" s="89"/>
      <c r="IS25" s="89"/>
      <c r="IT25" s="89"/>
      <c r="IU25" s="89"/>
      <c r="IV25" s="89"/>
    </row>
    <row r="26" spans="1:256" ht="15" x14ac:dyDescent="0.2">
      <c r="A26" s="101" t="s">
        <v>73</v>
      </c>
      <c r="B26" s="50">
        <f t="shared" ref="B26:J26" si="19">B$9+B$9*3/100*17</f>
        <v>924.10490000000004</v>
      </c>
      <c r="C26" s="52">
        <f t="shared" si="19"/>
        <v>1138.3739</v>
      </c>
      <c r="D26" s="50">
        <f t="shared" si="19"/>
        <v>1245.9765</v>
      </c>
      <c r="E26" s="52">
        <f t="shared" si="19"/>
        <v>1353.6093000000001</v>
      </c>
      <c r="F26" s="50">
        <f t="shared" si="19"/>
        <v>1522.9105</v>
      </c>
      <c r="G26" s="52">
        <f t="shared" si="19"/>
        <v>1731.4415000000001</v>
      </c>
      <c r="H26" s="50">
        <f t="shared" si="19"/>
        <v>2052.8449999999998</v>
      </c>
      <c r="I26" s="52">
        <f t="shared" si="19"/>
        <v>2463.2176999999997</v>
      </c>
      <c r="J26" s="50">
        <f t="shared" si="19"/>
        <v>3022.8236999999999</v>
      </c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  <c r="IR26" s="89"/>
      <c r="IS26" s="89"/>
      <c r="IT26" s="89"/>
      <c r="IU26" s="89"/>
      <c r="IV26" s="89"/>
    </row>
    <row r="27" spans="1:256" ht="15" x14ac:dyDescent="0.2">
      <c r="A27" s="101" t="s">
        <v>74</v>
      </c>
      <c r="B27" s="50">
        <f t="shared" ref="B27:J27" si="20">B$9+B$9*3/100*18</f>
        <v>942.46460000000002</v>
      </c>
      <c r="C27" s="52">
        <f t="shared" si="20"/>
        <v>1160.9906000000001</v>
      </c>
      <c r="D27" s="50">
        <f t="shared" si="20"/>
        <v>1270.731</v>
      </c>
      <c r="E27" s="52">
        <f t="shared" si="20"/>
        <v>1380.5021999999999</v>
      </c>
      <c r="F27" s="50">
        <f t="shared" si="20"/>
        <v>1553.1669999999999</v>
      </c>
      <c r="G27" s="52">
        <f t="shared" si="20"/>
        <v>1765.8410000000001</v>
      </c>
      <c r="H27" s="50">
        <f t="shared" si="20"/>
        <v>2093.63</v>
      </c>
      <c r="I27" s="52">
        <f t="shared" si="20"/>
        <v>2512.1557999999995</v>
      </c>
      <c r="J27" s="50">
        <f t="shared" si="20"/>
        <v>3082.8797999999997</v>
      </c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  <c r="IR27" s="89"/>
      <c r="IS27" s="89"/>
      <c r="IT27" s="89"/>
      <c r="IU27" s="89"/>
      <c r="IV27" s="89"/>
    </row>
    <row r="28" spans="1:256" ht="15" x14ac:dyDescent="0.2">
      <c r="A28" s="101" t="s">
        <v>75</v>
      </c>
      <c r="B28" s="50">
        <f t="shared" ref="B28:J28" si="21">B$9+B$9*3/100*19</f>
        <v>960.82429999999999</v>
      </c>
      <c r="C28" s="52">
        <f t="shared" si="21"/>
        <v>1183.6073000000001</v>
      </c>
      <c r="D28" s="50">
        <f t="shared" si="21"/>
        <v>1295.4854999999998</v>
      </c>
      <c r="E28" s="52">
        <f t="shared" si="21"/>
        <v>1407.3951</v>
      </c>
      <c r="F28" s="50">
        <f t="shared" si="21"/>
        <v>1583.4234999999999</v>
      </c>
      <c r="G28" s="52">
        <f t="shared" si="21"/>
        <v>1800.2405000000001</v>
      </c>
      <c r="H28" s="50">
        <f t="shared" si="21"/>
        <v>2134.415</v>
      </c>
      <c r="I28" s="52">
        <f t="shared" si="21"/>
        <v>2561.0938999999998</v>
      </c>
      <c r="J28" s="50">
        <f t="shared" si="21"/>
        <v>3142.9358999999995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89"/>
      <c r="IQ28" s="89"/>
      <c r="IR28" s="89"/>
      <c r="IS28" s="89"/>
      <c r="IT28" s="89"/>
      <c r="IU28" s="89"/>
      <c r="IV28" s="89"/>
    </row>
    <row r="29" spans="1:256" ht="15" x14ac:dyDescent="0.2">
      <c r="A29" s="101" t="s">
        <v>76</v>
      </c>
      <c r="B29" s="50">
        <f t="shared" ref="B29:J29" si="22">B$9+B$9*3/100*20</f>
        <v>979.18399999999997</v>
      </c>
      <c r="C29" s="52">
        <f t="shared" si="22"/>
        <v>1206.2240000000002</v>
      </c>
      <c r="D29" s="50">
        <f t="shared" si="22"/>
        <v>1320.2399999999998</v>
      </c>
      <c r="E29" s="52">
        <f t="shared" si="22"/>
        <v>1434.288</v>
      </c>
      <c r="F29" s="50">
        <f t="shared" si="22"/>
        <v>1613.6799999999998</v>
      </c>
      <c r="G29" s="52">
        <f t="shared" si="22"/>
        <v>1834.64</v>
      </c>
      <c r="H29" s="50">
        <f t="shared" si="22"/>
        <v>2175.1999999999998</v>
      </c>
      <c r="I29" s="52">
        <f t="shared" si="22"/>
        <v>2610.0319999999997</v>
      </c>
      <c r="J29" s="50">
        <f t="shared" si="22"/>
        <v>3202.9919999999997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89"/>
      <c r="IT29" s="89"/>
      <c r="IU29" s="89"/>
      <c r="IV29" s="89"/>
    </row>
    <row r="30" spans="1:256" ht="15" x14ac:dyDescent="0.2">
      <c r="A30" s="101" t="s">
        <v>77</v>
      </c>
      <c r="B30" s="50">
        <f t="shared" ref="B30:J30" si="23">B$9+B$9*3/100*21</f>
        <v>997.54369999999994</v>
      </c>
      <c r="C30" s="52">
        <f t="shared" si="23"/>
        <v>1228.8407</v>
      </c>
      <c r="D30" s="50">
        <f t="shared" si="23"/>
        <v>1344.9944999999998</v>
      </c>
      <c r="E30" s="52">
        <f t="shared" si="23"/>
        <v>1461.1808999999998</v>
      </c>
      <c r="F30" s="50">
        <f t="shared" si="23"/>
        <v>1643.9364999999998</v>
      </c>
      <c r="G30" s="52">
        <f t="shared" si="23"/>
        <v>1869.0395000000003</v>
      </c>
      <c r="H30" s="50">
        <f t="shared" si="23"/>
        <v>2215.9849999999997</v>
      </c>
      <c r="I30" s="52">
        <f t="shared" si="23"/>
        <v>2658.9700999999995</v>
      </c>
      <c r="J30" s="50">
        <f t="shared" si="23"/>
        <v>3263.0481</v>
      </c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89"/>
      <c r="IS30" s="89"/>
      <c r="IT30" s="89"/>
      <c r="IU30" s="89"/>
      <c r="IV30" s="89"/>
    </row>
    <row r="31" spans="1:256" ht="15" x14ac:dyDescent="0.2">
      <c r="A31" s="101" t="s">
        <v>78</v>
      </c>
      <c r="B31" s="50">
        <f t="shared" ref="B31:J31" si="24">B$9+B$9*3/100*22</f>
        <v>1015.9034</v>
      </c>
      <c r="C31" s="52">
        <f t="shared" si="24"/>
        <v>1251.4574</v>
      </c>
      <c r="D31" s="50">
        <f t="shared" si="24"/>
        <v>1369.7489999999998</v>
      </c>
      <c r="E31" s="52">
        <f t="shared" si="24"/>
        <v>1488.0738000000001</v>
      </c>
      <c r="F31" s="50">
        <f t="shared" si="24"/>
        <v>1674.1929999999998</v>
      </c>
      <c r="G31" s="52">
        <f t="shared" si="24"/>
        <v>1903.4390000000003</v>
      </c>
      <c r="H31" s="50">
        <f t="shared" si="24"/>
        <v>2256.77</v>
      </c>
      <c r="I31" s="52">
        <f t="shared" si="24"/>
        <v>2707.9081999999999</v>
      </c>
      <c r="J31" s="50">
        <f t="shared" si="24"/>
        <v>3323.1041999999998</v>
      </c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  <c r="IT31" s="89"/>
      <c r="IU31" s="89"/>
      <c r="IV31" s="89"/>
    </row>
    <row r="32" spans="1:256" ht="15" x14ac:dyDescent="0.2">
      <c r="A32" s="101" t="s">
        <v>79</v>
      </c>
      <c r="B32" s="50">
        <f t="shared" ref="B32:J32" si="25">B$9+B$9*3/100*23</f>
        <v>1034.2631000000001</v>
      </c>
      <c r="C32" s="52">
        <f t="shared" si="25"/>
        <v>1274.0741</v>
      </c>
      <c r="D32" s="50">
        <f t="shared" si="25"/>
        <v>1394.5034999999998</v>
      </c>
      <c r="E32" s="52">
        <f t="shared" si="25"/>
        <v>1514.9666999999999</v>
      </c>
      <c r="F32" s="50">
        <f t="shared" si="25"/>
        <v>1704.4494999999997</v>
      </c>
      <c r="G32" s="52">
        <f t="shared" si="25"/>
        <v>1937.8385000000003</v>
      </c>
      <c r="H32" s="50">
        <f t="shared" si="25"/>
        <v>2297.5549999999998</v>
      </c>
      <c r="I32" s="52">
        <f t="shared" si="25"/>
        <v>2756.8462999999997</v>
      </c>
      <c r="J32" s="50">
        <f t="shared" si="25"/>
        <v>3383.1602999999996</v>
      </c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  <c r="IV32" s="89"/>
    </row>
    <row r="33" spans="1:256" ht="15" x14ac:dyDescent="0.2">
      <c r="A33" s="101" t="s">
        <v>80</v>
      </c>
      <c r="B33" s="50">
        <f t="shared" ref="B33:J33" si="26">B$9+B$9*3/100*24</f>
        <v>1052.6228000000001</v>
      </c>
      <c r="C33" s="52">
        <f t="shared" si="26"/>
        <v>1296.6907999999999</v>
      </c>
      <c r="D33" s="50">
        <f t="shared" si="26"/>
        <v>1419.2579999999998</v>
      </c>
      <c r="E33" s="52">
        <f t="shared" si="26"/>
        <v>1541.8596</v>
      </c>
      <c r="F33" s="50">
        <f t="shared" si="26"/>
        <v>1734.7059999999999</v>
      </c>
      <c r="G33" s="52">
        <f t="shared" si="26"/>
        <v>1972.2380000000003</v>
      </c>
      <c r="H33" s="50">
        <f t="shared" si="26"/>
        <v>2338.34</v>
      </c>
      <c r="I33" s="52">
        <f t="shared" si="26"/>
        <v>2805.7843999999996</v>
      </c>
      <c r="J33" s="50">
        <f t="shared" si="26"/>
        <v>3443.2163999999998</v>
      </c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89"/>
      <c r="IQ33" s="89"/>
      <c r="IR33" s="89"/>
      <c r="IS33" s="89"/>
      <c r="IT33" s="89"/>
      <c r="IU33" s="89"/>
      <c r="IV33" s="89"/>
    </row>
    <row r="34" spans="1:256" ht="15" x14ac:dyDescent="0.2">
      <c r="A34" s="101" t="s">
        <v>81</v>
      </c>
      <c r="B34" s="50">
        <f t="shared" ref="B34:J34" si="27">B$9+B$9*3/100*25</f>
        <v>1070.9825000000001</v>
      </c>
      <c r="C34" s="52">
        <f t="shared" si="27"/>
        <v>1319.3074999999999</v>
      </c>
      <c r="D34" s="50">
        <f t="shared" si="27"/>
        <v>1444.0124999999998</v>
      </c>
      <c r="E34" s="52">
        <f t="shared" si="27"/>
        <v>1568.7525000000001</v>
      </c>
      <c r="F34" s="50">
        <f t="shared" si="27"/>
        <v>1764.9624999999999</v>
      </c>
      <c r="G34" s="52">
        <f t="shared" si="27"/>
        <v>2006.6375000000003</v>
      </c>
      <c r="H34" s="50">
        <f t="shared" si="27"/>
        <v>2379.125</v>
      </c>
      <c r="I34" s="52">
        <f t="shared" si="27"/>
        <v>2854.7224999999999</v>
      </c>
      <c r="J34" s="50">
        <f t="shared" si="27"/>
        <v>3503.2725</v>
      </c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  <c r="IV34" s="89"/>
    </row>
  </sheetData>
  <printOptions horizontalCentered="1" verticalCentered="1"/>
  <pageMargins left="0.59027777777777801" right="0.196527777777778" top="0.59097222222222201" bottom="0.196527777777778" header="0.31527777777777799" footer="0.51180555555555496"/>
  <pageSetup paperSize="0" scale="0" firstPageNumber="0" orientation="portrait" usePrinterDefaults="0" horizontalDpi="0" verticalDpi="0" copies="0"/>
  <headerFooter>
    <oddHeader>&amp;C&amp;"Comic Sans MS,Fett"&amp;12Gehaltstabellen von 01.07.2000 bis 30.06.2001 / Tabelle stipendiali dal 01.07.2000 al 30.06.2001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2"/>
  <sheetViews>
    <sheetView topLeftCell="B1" zoomScaleNormal="100" workbookViewId="0"/>
  </sheetViews>
  <sheetFormatPr baseColWidth="10" defaultColWidth="9.140625" defaultRowHeight="12.75" x14ac:dyDescent="0.2"/>
  <cols>
    <col min="1" max="1" width="0" hidden="1"/>
    <col min="2" max="2" width="25"/>
    <col min="3" max="12" width="12.5703125"/>
    <col min="13" max="13" width="14"/>
    <col min="14" max="14" width="5.7109375"/>
    <col min="15" max="256" width="11.28515625"/>
    <col min="257" max="1025" width="11.5703125"/>
  </cols>
  <sheetData>
    <row r="1" spans="1:256" x14ac:dyDescent="0.2">
      <c r="A1" s="1"/>
      <c r="B1" s="1"/>
      <c r="C1" s="2"/>
      <c r="D1" s="3"/>
      <c r="E1" s="2"/>
      <c r="F1" s="3"/>
      <c r="G1" s="2"/>
      <c r="H1" s="3"/>
      <c r="I1" s="3"/>
      <c r="J1" s="3"/>
      <c r="K1" s="3"/>
      <c r="L1" s="3"/>
      <c r="M1" s="2"/>
      <c r="N1" s="2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x14ac:dyDescent="0.25">
      <c r="A2" s="5"/>
      <c r="B2" s="6">
        <v>1936.27</v>
      </c>
      <c r="C2" s="7" t="s">
        <v>0</v>
      </c>
      <c r="D2" s="8" t="s">
        <v>1</v>
      </c>
      <c r="E2" s="9" t="s">
        <v>2</v>
      </c>
      <c r="F2" s="8" t="s">
        <v>3</v>
      </c>
      <c r="G2" s="9" t="s">
        <v>4</v>
      </c>
      <c r="H2" s="8" t="s">
        <v>41</v>
      </c>
      <c r="I2" s="9" t="s">
        <v>5</v>
      </c>
      <c r="J2" s="8" t="s">
        <v>6</v>
      </c>
      <c r="K2" s="9" t="s">
        <v>7</v>
      </c>
      <c r="L2" s="8" t="s">
        <v>8</v>
      </c>
      <c r="M2" s="29" t="s">
        <v>9</v>
      </c>
      <c r="N2" s="30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" x14ac:dyDescent="0.2">
      <c r="A3" s="12"/>
      <c r="B3" s="13" t="s">
        <v>10</v>
      </c>
      <c r="C3" s="14"/>
      <c r="D3" s="15"/>
      <c r="E3" s="14"/>
      <c r="F3" s="15"/>
      <c r="G3" s="14"/>
      <c r="H3" s="15"/>
      <c r="I3" s="15"/>
      <c r="J3" s="15"/>
      <c r="K3" s="15"/>
      <c r="L3" s="15"/>
      <c r="M3" s="31"/>
      <c r="N3" s="3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15.75" x14ac:dyDescent="0.25">
      <c r="A4" s="17"/>
      <c r="B4" s="18" t="s">
        <v>11</v>
      </c>
      <c r="C4" s="19">
        <f>8209350</f>
        <v>8209350</v>
      </c>
      <c r="D4" s="20">
        <v>9505350</v>
      </c>
      <c r="E4" s="19">
        <v>11044350</v>
      </c>
      <c r="F4" s="20">
        <v>12394350</v>
      </c>
      <c r="G4" s="19">
        <v>14203350</v>
      </c>
      <c r="H4" s="20">
        <v>15103350</v>
      </c>
      <c r="I4" s="19">
        <v>15701850</v>
      </c>
      <c r="J4" s="20">
        <v>18401850</v>
      </c>
      <c r="K4" s="19">
        <v>24395850</v>
      </c>
      <c r="L4" s="20">
        <v>34034850</v>
      </c>
      <c r="M4" s="19">
        <v>45350550</v>
      </c>
      <c r="N4" s="33" t="s">
        <v>12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15" x14ac:dyDescent="0.2">
      <c r="A5" s="22"/>
      <c r="B5" s="23">
        <v>1</v>
      </c>
      <c r="C5" s="24">
        <f t="shared" ref="C5:C12" si="0">($C$4*0.06*B5)+$C$4</f>
        <v>8701911</v>
      </c>
      <c r="D5" s="25">
        <f t="shared" ref="D5:D12" si="1">($D$4*0.06*B5)+$D$4</f>
        <v>10075671</v>
      </c>
      <c r="E5" s="24">
        <f t="shared" ref="E5:E12" si="2">($E$4*0.06*B5)+$E$4</f>
        <v>11707011</v>
      </c>
      <c r="F5" s="25">
        <f t="shared" ref="F5:F12" si="3">($F$4*0.06*$B5)+$F$4</f>
        <v>13138011</v>
      </c>
      <c r="G5" s="24">
        <f t="shared" ref="G5:G12" si="4">($G$4*0.06*$B5)+$G$4</f>
        <v>15055551</v>
      </c>
      <c r="H5" s="25">
        <f t="shared" ref="H5:H12" si="5">($H$4*0.06*$B5)+$H$4</f>
        <v>16009551</v>
      </c>
      <c r="I5" s="24">
        <f t="shared" ref="I5:I12" si="6">($I$4*0.06*$B5)+$I$4</f>
        <v>16643961</v>
      </c>
      <c r="J5" s="25">
        <f t="shared" ref="J5:J12" si="7">($J$4*0.06*$B5)+$J$4</f>
        <v>19505961</v>
      </c>
      <c r="K5" s="24">
        <f t="shared" ref="K5:K12" si="8">($K$4*0.06*$B5)+$K$4</f>
        <v>25859601</v>
      </c>
      <c r="L5" s="25">
        <f t="shared" ref="L5:L12" si="9">($L$4*0.06*$B5)+$L$4</f>
        <v>36076941</v>
      </c>
      <c r="M5" s="24">
        <f t="shared" ref="M5:M12" si="10">($M$4*0.06*$B5)+$M$4</f>
        <v>48071583</v>
      </c>
      <c r="N5" s="34" t="s">
        <v>13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15" x14ac:dyDescent="0.2">
      <c r="A6" s="22"/>
      <c r="B6" s="23">
        <v>2</v>
      </c>
      <c r="C6" s="24">
        <f t="shared" si="0"/>
        <v>9194472</v>
      </c>
      <c r="D6" s="25">
        <f t="shared" si="1"/>
        <v>10645992</v>
      </c>
      <c r="E6" s="24">
        <f t="shared" si="2"/>
        <v>12369672</v>
      </c>
      <c r="F6" s="25">
        <f t="shared" si="3"/>
        <v>13881672</v>
      </c>
      <c r="G6" s="24">
        <f t="shared" si="4"/>
        <v>15907752</v>
      </c>
      <c r="H6" s="25">
        <f t="shared" si="5"/>
        <v>16915752</v>
      </c>
      <c r="I6" s="24">
        <f t="shared" si="6"/>
        <v>17586072</v>
      </c>
      <c r="J6" s="25">
        <f t="shared" si="7"/>
        <v>20610072</v>
      </c>
      <c r="K6" s="24">
        <f t="shared" si="8"/>
        <v>27323352</v>
      </c>
      <c r="L6" s="25">
        <f t="shared" si="9"/>
        <v>38119032</v>
      </c>
      <c r="M6" s="24">
        <f t="shared" si="10"/>
        <v>50792616</v>
      </c>
      <c r="N6" s="35" t="s">
        <v>14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15" x14ac:dyDescent="0.2">
      <c r="A7" s="22"/>
      <c r="B7" s="23">
        <v>3</v>
      </c>
      <c r="C7" s="24">
        <f t="shared" si="0"/>
        <v>9687033</v>
      </c>
      <c r="D7" s="25">
        <f t="shared" si="1"/>
        <v>11216313</v>
      </c>
      <c r="E7" s="24">
        <f t="shared" si="2"/>
        <v>13032333</v>
      </c>
      <c r="F7" s="25">
        <f t="shared" si="3"/>
        <v>14625333</v>
      </c>
      <c r="G7" s="24">
        <f t="shared" si="4"/>
        <v>16759953</v>
      </c>
      <c r="H7" s="25">
        <f t="shared" si="5"/>
        <v>17821953</v>
      </c>
      <c r="I7" s="24">
        <f t="shared" si="6"/>
        <v>18528183</v>
      </c>
      <c r="J7" s="25">
        <f t="shared" si="7"/>
        <v>21714183</v>
      </c>
      <c r="K7" s="24">
        <f t="shared" si="8"/>
        <v>28787103</v>
      </c>
      <c r="L7" s="25">
        <f t="shared" si="9"/>
        <v>40161123</v>
      </c>
      <c r="M7" s="24">
        <f t="shared" si="10"/>
        <v>53513649</v>
      </c>
      <c r="N7" s="34" t="s">
        <v>15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ht="15" x14ac:dyDescent="0.2">
      <c r="A8" s="22"/>
      <c r="B8" s="23">
        <v>4</v>
      </c>
      <c r="C8" s="24">
        <f t="shared" si="0"/>
        <v>10179594</v>
      </c>
      <c r="D8" s="25">
        <f t="shared" si="1"/>
        <v>11786634</v>
      </c>
      <c r="E8" s="24">
        <f t="shared" si="2"/>
        <v>13694994</v>
      </c>
      <c r="F8" s="25">
        <f t="shared" si="3"/>
        <v>15368994</v>
      </c>
      <c r="G8" s="24">
        <f t="shared" si="4"/>
        <v>17612154</v>
      </c>
      <c r="H8" s="25">
        <f t="shared" si="5"/>
        <v>18728154</v>
      </c>
      <c r="I8" s="24">
        <f t="shared" si="6"/>
        <v>19470294</v>
      </c>
      <c r="J8" s="25">
        <f t="shared" si="7"/>
        <v>22818294</v>
      </c>
      <c r="K8" s="24">
        <f t="shared" si="8"/>
        <v>30250854</v>
      </c>
      <c r="L8" s="25">
        <f t="shared" si="9"/>
        <v>42203214</v>
      </c>
      <c r="M8" s="24">
        <f t="shared" si="10"/>
        <v>56234682</v>
      </c>
      <c r="N8" s="34" t="s">
        <v>16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ht="15" x14ac:dyDescent="0.2">
      <c r="A9" s="22"/>
      <c r="B9" s="23">
        <v>5</v>
      </c>
      <c r="C9" s="24">
        <f t="shared" si="0"/>
        <v>10672155</v>
      </c>
      <c r="D9" s="25">
        <f t="shared" si="1"/>
        <v>12356955</v>
      </c>
      <c r="E9" s="24">
        <f t="shared" si="2"/>
        <v>14357655</v>
      </c>
      <c r="F9" s="25">
        <f t="shared" si="3"/>
        <v>16112655</v>
      </c>
      <c r="G9" s="24">
        <f t="shared" si="4"/>
        <v>18464355</v>
      </c>
      <c r="H9" s="25">
        <f t="shared" si="5"/>
        <v>19634355</v>
      </c>
      <c r="I9" s="24">
        <f t="shared" si="6"/>
        <v>20412405</v>
      </c>
      <c r="J9" s="25">
        <f t="shared" si="7"/>
        <v>23922405</v>
      </c>
      <c r="K9" s="24">
        <f t="shared" si="8"/>
        <v>31714605</v>
      </c>
      <c r="L9" s="25">
        <f t="shared" si="9"/>
        <v>44245305</v>
      </c>
      <c r="M9" s="24">
        <f t="shared" si="10"/>
        <v>58955715</v>
      </c>
      <c r="N9" s="35" t="s">
        <v>17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pans="1:256" ht="15" x14ac:dyDescent="0.2">
      <c r="A10" s="22"/>
      <c r="B10" s="23">
        <v>6</v>
      </c>
      <c r="C10" s="24">
        <f t="shared" si="0"/>
        <v>11164716</v>
      </c>
      <c r="D10" s="25">
        <f t="shared" si="1"/>
        <v>12927276</v>
      </c>
      <c r="E10" s="24">
        <f t="shared" si="2"/>
        <v>15020316</v>
      </c>
      <c r="F10" s="25">
        <f t="shared" si="3"/>
        <v>16856316</v>
      </c>
      <c r="G10" s="24">
        <f t="shared" si="4"/>
        <v>19316556</v>
      </c>
      <c r="H10" s="25">
        <f t="shared" si="5"/>
        <v>20540556</v>
      </c>
      <c r="I10" s="24">
        <f t="shared" si="6"/>
        <v>21354516</v>
      </c>
      <c r="J10" s="25">
        <f t="shared" si="7"/>
        <v>25026516</v>
      </c>
      <c r="K10" s="24">
        <f t="shared" si="8"/>
        <v>33178356</v>
      </c>
      <c r="L10" s="25">
        <f t="shared" si="9"/>
        <v>46287396</v>
      </c>
      <c r="M10" s="24">
        <f t="shared" si="10"/>
        <v>61676748</v>
      </c>
      <c r="N10" s="34" t="s">
        <v>18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ht="15" x14ac:dyDescent="0.2">
      <c r="A11" s="22"/>
      <c r="B11" s="23">
        <v>7</v>
      </c>
      <c r="C11" s="24">
        <f t="shared" si="0"/>
        <v>11657277</v>
      </c>
      <c r="D11" s="25">
        <f t="shared" si="1"/>
        <v>13497597</v>
      </c>
      <c r="E11" s="24">
        <f t="shared" si="2"/>
        <v>15682977</v>
      </c>
      <c r="F11" s="25">
        <f t="shared" si="3"/>
        <v>17599977</v>
      </c>
      <c r="G11" s="24">
        <f t="shared" si="4"/>
        <v>20168757</v>
      </c>
      <c r="H11" s="25">
        <f t="shared" si="5"/>
        <v>21446757</v>
      </c>
      <c r="I11" s="24">
        <f t="shared" si="6"/>
        <v>22296627</v>
      </c>
      <c r="J11" s="25">
        <f t="shared" si="7"/>
        <v>26130627</v>
      </c>
      <c r="K11" s="24">
        <f t="shared" si="8"/>
        <v>34642107</v>
      </c>
      <c r="L11" s="25">
        <f t="shared" si="9"/>
        <v>48329487</v>
      </c>
      <c r="M11" s="24">
        <f t="shared" si="10"/>
        <v>64397781</v>
      </c>
      <c r="N11" s="34" t="s">
        <v>19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" x14ac:dyDescent="0.2">
      <c r="A12" s="22"/>
      <c r="B12" s="23">
        <v>8</v>
      </c>
      <c r="C12" s="24">
        <f t="shared" si="0"/>
        <v>12149838</v>
      </c>
      <c r="D12" s="25">
        <f t="shared" si="1"/>
        <v>14067918</v>
      </c>
      <c r="E12" s="24">
        <f t="shared" si="2"/>
        <v>16345638</v>
      </c>
      <c r="F12" s="25">
        <f t="shared" si="3"/>
        <v>18343638</v>
      </c>
      <c r="G12" s="24">
        <f t="shared" si="4"/>
        <v>21020958</v>
      </c>
      <c r="H12" s="25">
        <f t="shared" si="5"/>
        <v>22352958</v>
      </c>
      <c r="I12" s="24">
        <f t="shared" si="6"/>
        <v>23238738</v>
      </c>
      <c r="J12" s="25">
        <f t="shared" si="7"/>
        <v>27234738</v>
      </c>
      <c r="K12" s="24">
        <f t="shared" si="8"/>
        <v>36105858</v>
      </c>
      <c r="L12" s="25">
        <f t="shared" si="9"/>
        <v>50371578</v>
      </c>
      <c r="M12" s="24">
        <f t="shared" si="10"/>
        <v>67118814</v>
      </c>
      <c r="N12" s="35" t="s">
        <v>20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ht="15" x14ac:dyDescent="0.2">
      <c r="A13" s="22"/>
      <c r="B13" s="23">
        <v>9</v>
      </c>
      <c r="C13" s="24">
        <f>($C$4*151.7/100)</f>
        <v>12453583.949999999</v>
      </c>
      <c r="D13" s="25">
        <f>($D$4*151.7/100)</f>
        <v>14419615.949999999</v>
      </c>
      <c r="E13" s="24">
        <f t="shared" ref="E13:M13" si="11">(E$4*151.7/100)</f>
        <v>16754278.949999997</v>
      </c>
      <c r="F13" s="25">
        <f t="shared" si="11"/>
        <v>18802228.949999999</v>
      </c>
      <c r="G13" s="24">
        <f t="shared" si="11"/>
        <v>21546481.949999999</v>
      </c>
      <c r="H13" s="25">
        <f t="shared" si="11"/>
        <v>22911781.949999999</v>
      </c>
      <c r="I13" s="24">
        <f t="shared" si="11"/>
        <v>23819706.449999999</v>
      </c>
      <c r="J13" s="25">
        <f t="shared" si="11"/>
        <v>27915606.449999999</v>
      </c>
      <c r="K13" s="24">
        <f t="shared" si="11"/>
        <v>37008504.449999996</v>
      </c>
      <c r="L13" s="25">
        <f t="shared" si="11"/>
        <v>51630867.450000003</v>
      </c>
      <c r="M13" s="24">
        <f t="shared" si="11"/>
        <v>68796784.349999994</v>
      </c>
      <c r="N13" s="34" t="s">
        <v>21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15" x14ac:dyDescent="0.2">
      <c r="A14" s="22">
        <v>1</v>
      </c>
      <c r="B14" s="23">
        <v>10</v>
      </c>
      <c r="C14" s="24">
        <f>(C$4*(151.7+(3.7*$A$14))/100)</f>
        <v>12757329.899999999</v>
      </c>
      <c r="D14" s="25">
        <f>(D$4*(151.7+(3.7*$A$14))/100)</f>
        <v>14771313.899999999</v>
      </c>
      <c r="E14" s="24">
        <f t="shared" ref="E14:E32" si="12">(E$4*(151.7+(3.7*A14))/100)</f>
        <v>17162919.899999999</v>
      </c>
      <c r="F14" s="25">
        <f t="shared" ref="F14:F32" si="13">(F$4*(151.7+(3.7*A14))/100)</f>
        <v>19260819.899999999</v>
      </c>
      <c r="G14" s="24">
        <f t="shared" ref="G14:G32" si="14">(G$4*(151.7+(3.7*A14))/100)</f>
        <v>22072005.899999995</v>
      </c>
      <c r="H14" s="25">
        <f t="shared" ref="H14:H32" si="15">(H$4*(151.7+(3.7*A14))/100)</f>
        <v>23470605.899999995</v>
      </c>
      <c r="I14" s="24">
        <f t="shared" ref="I14:I32" si="16">(I$4*(151.7+(3.7*A14))/100)</f>
        <v>24400674.899999995</v>
      </c>
      <c r="J14" s="25">
        <f t="shared" ref="J14:J32" si="17">(J$4*(151.7+(3.7*A14))/100)</f>
        <v>28596474.899999995</v>
      </c>
      <c r="K14" s="24">
        <f t="shared" ref="K14:K32" si="18">(K$4*(151.7+(3.7*A14))/100)</f>
        <v>37911150.899999999</v>
      </c>
      <c r="L14" s="25">
        <f t="shared" ref="L14:L32" si="19">(L$4*(151.7+(3.7*A14))/100)</f>
        <v>52890156.899999991</v>
      </c>
      <c r="M14" s="24">
        <f t="shared" ref="M14:M32" si="20">(M$4*(151.7+(3.7*A14))/100)</f>
        <v>70474754.699999988</v>
      </c>
      <c r="N14" s="34" t="s">
        <v>22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5" x14ac:dyDescent="0.2">
      <c r="A15" s="22">
        <v>2</v>
      </c>
      <c r="B15" s="23">
        <v>11</v>
      </c>
      <c r="C15" s="24">
        <f t="shared" ref="C15:C32" si="21">($C$4*(151.7+(3.7*A15))/100)</f>
        <v>13061075.85</v>
      </c>
      <c r="D15" s="25">
        <f t="shared" ref="D15:D32" si="22">($D$4*(151.7+(3.7*A15))/100)</f>
        <v>15123011.85</v>
      </c>
      <c r="E15" s="24">
        <f t="shared" si="12"/>
        <v>17571560.850000001</v>
      </c>
      <c r="F15" s="25">
        <f t="shared" si="13"/>
        <v>19719410.850000001</v>
      </c>
      <c r="G15" s="24">
        <f t="shared" si="14"/>
        <v>22597529.850000001</v>
      </c>
      <c r="H15" s="25">
        <f t="shared" si="15"/>
        <v>24029429.850000001</v>
      </c>
      <c r="I15" s="24">
        <f t="shared" si="16"/>
        <v>24981643.350000001</v>
      </c>
      <c r="J15" s="25">
        <f t="shared" si="17"/>
        <v>29277343.350000001</v>
      </c>
      <c r="K15" s="24">
        <f t="shared" si="18"/>
        <v>38813797.350000001</v>
      </c>
      <c r="L15" s="25">
        <f t="shared" si="19"/>
        <v>54149446.350000001</v>
      </c>
      <c r="M15" s="24">
        <f t="shared" si="20"/>
        <v>72152725.049999997</v>
      </c>
      <c r="N15" s="35" t="s">
        <v>23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15" x14ac:dyDescent="0.2">
      <c r="A16" s="22">
        <v>3</v>
      </c>
      <c r="B16" s="23">
        <v>12</v>
      </c>
      <c r="C16" s="24">
        <f t="shared" si="21"/>
        <v>13364821.799999997</v>
      </c>
      <c r="D16" s="25">
        <f t="shared" si="22"/>
        <v>15474709.799999997</v>
      </c>
      <c r="E16" s="24">
        <f t="shared" si="12"/>
        <v>17980201.799999997</v>
      </c>
      <c r="F16" s="25">
        <f t="shared" si="13"/>
        <v>20178001.799999997</v>
      </c>
      <c r="G16" s="24">
        <f t="shared" si="14"/>
        <v>23123053.799999997</v>
      </c>
      <c r="H16" s="25">
        <f t="shared" si="15"/>
        <v>24588253.799999997</v>
      </c>
      <c r="I16" s="24">
        <f t="shared" si="16"/>
        <v>25562611.799999997</v>
      </c>
      <c r="J16" s="25">
        <f t="shared" si="17"/>
        <v>29958211.799999997</v>
      </c>
      <c r="K16" s="24">
        <f t="shared" si="18"/>
        <v>39716443.799999997</v>
      </c>
      <c r="L16" s="25">
        <f t="shared" si="19"/>
        <v>55408735.79999999</v>
      </c>
      <c r="M16" s="24">
        <f t="shared" si="20"/>
        <v>73830695.399999991</v>
      </c>
      <c r="N16" s="34" t="s">
        <v>24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5" x14ac:dyDescent="0.2">
      <c r="A17" s="22">
        <v>4</v>
      </c>
      <c r="B17" s="23">
        <v>13</v>
      </c>
      <c r="C17" s="24">
        <f t="shared" si="21"/>
        <v>13668567.75</v>
      </c>
      <c r="D17" s="25">
        <f t="shared" si="22"/>
        <v>15826407.75</v>
      </c>
      <c r="E17" s="24">
        <f t="shared" si="12"/>
        <v>18388842.75</v>
      </c>
      <c r="F17" s="25">
        <f t="shared" si="13"/>
        <v>20636592.75</v>
      </c>
      <c r="G17" s="24">
        <f t="shared" si="14"/>
        <v>23648577.75</v>
      </c>
      <c r="H17" s="25">
        <f t="shared" si="15"/>
        <v>25147077.75</v>
      </c>
      <c r="I17" s="24">
        <f t="shared" si="16"/>
        <v>26143580.25</v>
      </c>
      <c r="J17" s="25">
        <f t="shared" si="17"/>
        <v>30639080.25</v>
      </c>
      <c r="K17" s="24">
        <f t="shared" si="18"/>
        <v>40619090.25</v>
      </c>
      <c r="L17" s="25">
        <f t="shared" si="19"/>
        <v>56668025.25</v>
      </c>
      <c r="M17" s="24">
        <f t="shared" si="20"/>
        <v>75508665.75</v>
      </c>
      <c r="N17" s="34" t="s">
        <v>25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5" x14ac:dyDescent="0.2">
      <c r="A18" s="22">
        <v>5</v>
      </c>
      <c r="B18" s="23">
        <v>14</v>
      </c>
      <c r="C18" s="24">
        <f t="shared" si="21"/>
        <v>13972313.699999999</v>
      </c>
      <c r="D18" s="25">
        <f t="shared" si="22"/>
        <v>16178105.699999999</v>
      </c>
      <c r="E18" s="24">
        <f t="shared" si="12"/>
        <v>18797483.699999999</v>
      </c>
      <c r="F18" s="25">
        <f t="shared" si="13"/>
        <v>21095183.699999999</v>
      </c>
      <c r="G18" s="24">
        <f t="shared" si="14"/>
        <v>24174101.699999999</v>
      </c>
      <c r="H18" s="25">
        <f t="shared" si="15"/>
        <v>25705901.699999999</v>
      </c>
      <c r="I18" s="24">
        <f t="shared" si="16"/>
        <v>26724548.699999999</v>
      </c>
      <c r="J18" s="25">
        <f t="shared" si="17"/>
        <v>31319948.699999999</v>
      </c>
      <c r="K18" s="24">
        <f t="shared" si="18"/>
        <v>41521736.699999996</v>
      </c>
      <c r="L18" s="25">
        <f t="shared" si="19"/>
        <v>57927314.700000003</v>
      </c>
      <c r="M18" s="24">
        <f t="shared" si="20"/>
        <v>77186636.099999994</v>
      </c>
      <c r="N18" s="35" t="s">
        <v>26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15" x14ac:dyDescent="0.2">
      <c r="A19" s="22">
        <v>6</v>
      </c>
      <c r="B19" s="23">
        <v>15</v>
      </c>
      <c r="C19" s="24">
        <f t="shared" si="21"/>
        <v>14276059.649999999</v>
      </c>
      <c r="D19" s="25">
        <f t="shared" si="22"/>
        <v>16529803.649999999</v>
      </c>
      <c r="E19" s="24">
        <f t="shared" si="12"/>
        <v>19206124.649999999</v>
      </c>
      <c r="F19" s="25">
        <f t="shared" si="13"/>
        <v>21553774.649999995</v>
      </c>
      <c r="G19" s="24">
        <f t="shared" si="14"/>
        <v>24699625.649999995</v>
      </c>
      <c r="H19" s="25">
        <f t="shared" si="15"/>
        <v>26264725.649999995</v>
      </c>
      <c r="I19" s="24">
        <f t="shared" si="16"/>
        <v>27305517.149999995</v>
      </c>
      <c r="J19" s="25">
        <f t="shared" si="17"/>
        <v>32000817.149999995</v>
      </c>
      <c r="K19" s="24">
        <f t="shared" si="18"/>
        <v>42424383.149999999</v>
      </c>
      <c r="L19" s="25">
        <f t="shared" si="19"/>
        <v>59186604.149999991</v>
      </c>
      <c r="M19" s="24">
        <f t="shared" si="20"/>
        <v>78864606.449999988</v>
      </c>
      <c r="N19" s="34" t="s">
        <v>27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15" x14ac:dyDescent="0.2">
      <c r="A20" s="22">
        <v>7</v>
      </c>
      <c r="B20" s="23">
        <v>16</v>
      </c>
      <c r="C20" s="24">
        <f t="shared" si="21"/>
        <v>14579805.6</v>
      </c>
      <c r="D20" s="25">
        <f t="shared" si="22"/>
        <v>16881501.600000001</v>
      </c>
      <c r="E20" s="24">
        <f t="shared" si="12"/>
        <v>19614765.600000001</v>
      </c>
      <c r="F20" s="25">
        <f t="shared" si="13"/>
        <v>22012365.600000001</v>
      </c>
      <c r="G20" s="24">
        <f t="shared" si="14"/>
        <v>25225149.600000001</v>
      </c>
      <c r="H20" s="25">
        <f t="shared" si="15"/>
        <v>26823549.600000001</v>
      </c>
      <c r="I20" s="24">
        <f t="shared" si="16"/>
        <v>27886485.600000001</v>
      </c>
      <c r="J20" s="25">
        <f t="shared" si="17"/>
        <v>32681685.600000001</v>
      </c>
      <c r="K20" s="24">
        <f t="shared" si="18"/>
        <v>43327029.600000001</v>
      </c>
      <c r="L20" s="25">
        <f t="shared" si="19"/>
        <v>60445893.600000001</v>
      </c>
      <c r="M20" s="24">
        <f t="shared" si="20"/>
        <v>80542576.799999997</v>
      </c>
      <c r="N20" s="34" t="s">
        <v>28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15" x14ac:dyDescent="0.2">
      <c r="A21" s="22">
        <v>8</v>
      </c>
      <c r="B21" s="23">
        <v>17</v>
      </c>
      <c r="C21" s="24">
        <f t="shared" si="21"/>
        <v>14883551.549999997</v>
      </c>
      <c r="D21" s="25">
        <f t="shared" si="22"/>
        <v>17233199.549999997</v>
      </c>
      <c r="E21" s="24">
        <f t="shared" si="12"/>
        <v>20023406.549999997</v>
      </c>
      <c r="F21" s="25">
        <f t="shared" si="13"/>
        <v>22470956.550000001</v>
      </c>
      <c r="G21" s="24">
        <f t="shared" si="14"/>
        <v>25750673.549999997</v>
      </c>
      <c r="H21" s="25">
        <f t="shared" si="15"/>
        <v>27382373.549999997</v>
      </c>
      <c r="I21" s="24">
        <f t="shared" si="16"/>
        <v>28467454.049999997</v>
      </c>
      <c r="J21" s="25">
        <f t="shared" si="17"/>
        <v>33362554.049999997</v>
      </c>
      <c r="K21" s="24">
        <f t="shared" si="18"/>
        <v>44229676.049999997</v>
      </c>
      <c r="L21" s="25">
        <f t="shared" si="19"/>
        <v>61705183.04999999</v>
      </c>
      <c r="M21" s="24">
        <f t="shared" si="20"/>
        <v>82220547.149999991</v>
      </c>
      <c r="N21" s="35" t="s">
        <v>29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15" x14ac:dyDescent="0.2">
      <c r="A22" s="22">
        <v>9</v>
      </c>
      <c r="B22" s="23">
        <v>18</v>
      </c>
      <c r="C22" s="24">
        <f t="shared" si="21"/>
        <v>15187297.5</v>
      </c>
      <c r="D22" s="25">
        <f t="shared" si="22"/>
        <v>17584897.5</v>
      </c>
      <c r="E22" s="24">
        <f t="shared" si="12"/>
        <v>20432047.5</v>
      </c>
      <c r="F22" s="25">
        <f t="shared" si="13"/>
        <v>22929547.5</v>
      </c>
      <c r="G22" s="24">
        <f t="shared" si="14"/>
        <v>26276197.5</v>
      </c>
      <c r="H22" s="25">
        <f t="shared" si="15"/>
        <v>27941197.5</v>
      </c>
      <c r="I22" s="24">
        <f t="shared" si="16"/>
        <v>29048422.5</v>
      </c>
      <c r="J22" s="25">
        <f t="shared" si="17"/>
        <v>34043422.5</v>
      </c>
      <c r="K22" s="24">
        <f t="shared" si="18"/>
        <v>45132322.5</v>
      </c>
      <c r="L22" s="25">
        <f t="shared" si="19"/>
        <v>62964472.5</v>
      </c>
      <c r="M22" s="24">
        <f t="shared" si="20"/>
        <v>83898517.5</v>
      </c>
      <c r="N22" s="34" t="s">
        <v>30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15" x14ac:dyDescent="0.2">
      <c r="A23" s="22">
        <v>10</v>
      </c>
      <c r="B23" s="23">
        <v>19</v>
      </c>
      <c r="C23" s="24">
        <f t="shared" si="21"/>
        <v>15491043.449999999</v>
      </c>
      <c r="D23" s="25">
        <f t="shared" si="22"/>
        <v>17936595.449999999</v>
      </c>
      <c r="E23" s="24">
        <f t="shared" si="12"/>
        <v>20840688.449999999</v>
      </c>
      <c r="F23" s="25">
        <f t="shared" si="13"/>
        <v>23388138.449999999</v>
      </c>
      <c r="G23" s="24">
        <f t="shared" si="14"/>
        <v>26801721.449999999</v>
      </c>
      <c r="H23" s="25">
        <f t="shared" si="15"/>
        <v>28500021.449999999</v>
      </c>
      <c r="I23" s="24">
        <f t="shared" si="16"/>
        <v>29629390.949999999</v>
      </c>
      <c r="J23" s="25">
        <f t="shared" si="17"/>
        <v>34724290.950000003</v>
      </c>
      <c r="K23" s="24">
        <f t="shared" si="18"/>
        <v>46034968.950000003</v>
      </c>
      <c r="L23" s="25">
        <f t="shared" si="19"/>
        <v>64223761.950000003</v>
      </c>
      <c r="M23" s="24">
        <f t="shared" si="20"/>
        <v>85576487.849999994</v>
      </c>
      <c r="N23" s="34" t="s">
        <v>31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15" x14ac:dyDescent="0.2">
      <c r="A24" s="22">
        <v>11</v>
      </c>
      <c r="B24" s="23">
        <v>20</v>
      </c>
      <c r="C24" s="24">
        <f t="shared" si="21"/>
        <v>15794789.399999999</v>
      </c>
      <c r="D24" s="25">
        <f t="shared" si="22"/>
        <v>18288293.399999999</v>
      </c>
      <c r="E24" s="24">
        <f t="shared" si="12"/>
        <v>21249329.399999999</v>
      </c>
      <c r="F24" s="25">
        <f t="shared" si="13"/>
        <v>23846729.399999995</v>
      </c>
      <c r="G24" s="24">
        <f t="shared" si="14"/>
        <v>27327245.399999995</v>
      </c>
      <c r="H24" s="25">
        <f t="shared" si="15"/>
        <v>29058845.399999995</v>
      </c>
      <c r="I24" s="24">
        <f t="shared" si="16"/>
        <v>30210359.399999995</v>
      </c>
      <c r="J24" s="25">
        <f t="shared" si="17"/>
        <v>35405159.399999999</v>
      </c>
      <c r="K24" s="24">
        <f t="shared" si="18"/>
        <v>46937615.399999991</v>
      </c>
      <c r="L24" s="25">
        <f t="shared" si="19"/>
        <v>65483051.399999991</v>
      </c>
      <c r="M24" s="24">
        <f t="shared" si="20"/>
        <v>87254458.199999988</v>
      </c>
      <c r="N24" s="35" t="s">
        <v>32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5" x14ac:dyDescent="0.2">
      <c r="A25" s="22">
        <v>12</v>
      </c>
      <c r="B25" s="23">
        <v>21</v>
      </c>
      <c r="C25" s="24">
        <f t="shared" si="21"/>
        <v>16098535.35</v>
      </c>
      <c r="D25" s="25">
        <f t="shared" si="22"/>
        <v>18639991.350000001</v>
      </c>
      <c r="E25" s="24">
        <f t="shared" si="12"/>
        <v>21657970.350000001</v>
      </c>
      <c r="F25" s="25">
        <f t="shared" si="13"/>
        <v>24305320.350000001</v>
      </c>
      <c r="G25" s="24">
        <f t="shared" si="14"/>
        <v>27852769.350000001</v>
      </c>
      <c r="H25" s="25">
        <f t="shared" si="15"/>
        <v>29617669.350000001</v>
      </c>
      <c r="I25" s="24">
        <f t="shared" si="16"/>
        <v>30791327.850000001</v>
      </c>
      <c r="J25" s="25">
        <f t="shared" si="17"/>
        <v>36086027.850000001</v>
      </c>
      <c r="K25" s="24">
        <f t="shared" si="18"/>
        <v>47840261.850000001</v>
      </c>
      <c r="L25" s="25">
        <f t="shared" si="19"/>
        <v>66742340.850000001</v>
      </c>
      <c r="M25" s="24">
        <f t="shared" si="20"/>
        <v>88932428.549999997</v>
      </c>
      <c r="N25" s="34" t="s">
        <v>33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15" x14ac:dyDescent="0.2">
      <c r="A26" s="22">
        <v>13</v>
      </c>
      <c r="B26" s="23">
        <v>22</v>
      </c>
      <c r="C26" s="24">
        <f t="shared" si="21"/>
        <v>16402281.299999997</v>
      </c>
      <c r="D26" s="25">
        <f t="shared" si="22"/>
        <v>18991689.299999997</v>
      </c>
      <c r="E26" s="24">
        <f t="shared" si="12"/>
        <v>22066611.300000001</v>
      </c>
      <c r="F26" s="25">
        <f t="shared" si="13"/>
        <v>24763911.300000001</v>
      </c>
      <c r="G26" s="24">
        <f t="shared" si="14"/>
        <v>28378293.299999997</v>
      </c>
      <c r="H26" s="25">
        <f t="shared" si="15"/>
        <v>30176493.299999997</v>
      </c>
      <c r="I26" s="24">
        <f t="shared" si="16"/>
        <v>31372296.299999997</v>
      </c>
      <c r="J26" s="25">
        <f t="shared" si="17"/>
        <v>36766896.299999997</v>
      </c>
      <c r="K26" s="24">
        <f t="shared" si="18"/>
        <v>48742908.299999997</v>
      </c>
      <c r="L26" s="25">
        <f t="shared" si="19"/>
        <v>68001630.299999997</v>
      </c>
      <c r="M26" s="24">
        <f t="shared" si="20"/>
        <v>90610398.900000006</v>
      </c>
      <c r="N26" s="34" t="s">
        <v>34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5" x14ac:dyDescent="0.2">
      <c r="A27" s="22">
        <v>14</v>
      </c>
      <c r="B27" s="23">
        <v>23</v>
      </c>
      <c r="C27" s="24">
        <f t="shared" si="21"/>
        <v>16706027.25</v>
      </c>
      <c r="D27" s="25">
        <f t="shared" si="22"/>
        <v>19343387.25</v>
      </c>
      <c r="E27" s="24">
        <f t="shared" si="12"/>
        <v>22475252.25</v>
      </c>
      <c r="F27" s="25">
        <f t="shared" si="13"/>
        <v>25222502.25</v>
      </c>
      <c r="G27" s="24">
        <f t="shared" si="14"/>
        <v>28903817.25</v>
      </c>
      <c r="H27" s="25">
        <f t="shared" si="15"/>
        <v>30735317.25</v>
      </c>
      <c r="I27" s="24">
        <f t="shared" si="16"/>
        <v>31953264.75</v>
      </c>
      <c r="J27" s="25">
        <f t="shared" si="17"/>
        <v>37447764.75</v>
      </c>
      <c r="K27" s="24">
        <f t="shared" si="18"/>
        <v>49645554.75</v>
      </c>
      <c r="L27" s="25">
        <f t="shared" si="19"/>
        <v>69260919.75</v>
      </c>
      <c r="M27" s="24">
        <f t="shared" si="20"/>
        <v>92288369.25</v>
      </c>
      <c r="N27" s="35" t="s">
        <v>35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15" x14ac:dyDescent="0.2">
      <c r="A28" s="22">
        <v>15</v>
      </c>
      <c r="B28" s="23">
        <v>24</v>
      </c>
      <c r="C28" s="24">
        <f t="shared" si="21"/>
        <v>17009773.199999999</v>
      </c>
      <c r="D28" s="25">
        <f t="shared" si="22"/>
        <v>19695085.199999999</v>
      </c>
      <c r="E28" s="24">
        <f t="shared" si="12"/>
        <v>22883893.199999999</v>
      </c>
      <c r="F28" s="25">
        <f t="shared" si="13"/>
        <v>25681093.199999999</v>
      </c>
      <c r="G28" s="24">
        <f t="shared" si="14"/>
        <v>29429341.199999999</v>
      </c>
      <c r="H28" s="25">
        <f t="shared" si="15"/>
        <v>31294141.199999999</v>
      </c>
      <c r="I28" s="24">
        <f t="shared" si="16"/>
        <v>32534233.199999999</v>
      </c>
      <c r="J28" s="25">
        <f t="shared" si="17"/>
        <v>38128633.200000003</v>
      </c>
      <c r="K28" s="24">
        <f t="shared" si="18"/>
        <v>50548201.200000003</v>
      </c>
      <c r="L28" s="25">
        <f t="shared" si="19"/>
        <v>70520209.200000003</v>
      </c>
      <c r="M28" s="24">
        <f t="shared" si="20"/>
        <v>93966339.599999994</v>
      </c>
      <c r="N28" s="34" t="s">
        <v>36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5" x14ac:dyDescent="0.2">
      <c r="A29" s="22">
        <v>16</v>
      </c>
      <c r="B29" s="23">
        <v>25</v>
      </c>
      <c r="C29" s="24">
        <f t="shared" si="21"/>
        <v>17313519.149999999</v>
      </c>
      <c r="D29" s="25">
        <f t="shared" si="22"/>
        <v>20046783.149999999</v>
      </c>
      <c r="E29" s="24">
        <f t="shared" si="12"/>
        <v>23292534.149999995</v>
      </c>
      <c r="F29" s="25">
        <f t="shared" si="13"/>
        <v>26139684.149999995</v>
      </c>
      <c r="G29" s="24">
        <f t="shared" si="14"/>
        <v>29954865.149999995</v>
      </c>
      <c r="H29" s="25">
        <f t="shared" si="15"/>
        <v>31852965.149999995</v>
      </c>
      <c r="I29" s="24">
        <f t="shared" si="16"/>
        <v>33115201.649999995</v>
      </c>
      <c r="J29" s="25">
        <f t="shared" si="17"/>
        <v>38809501.649999999</v>
      </c>
      <c r="K29" s="24">
        <f t="shared" si="18"/>
        <v>51450847.649999991</v>
      </c>
      <c r="L29" s="25">
        <f t="shared" si="19"/>
        <v>71779498.649999991</v>
      </c>
      <c r="M29" s="24">
        <f t="shared" si="20"/>
        <v>95644309.949999988</v>
      </c>
      <c r="N29" s="34" t="s">
        <v>37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15" x14ac:dyDescent="0.2">
      <c r="A30" s="22">
        <v>17</v>
      </c>
      <c r="B30" s="23">
        <v>26</v>
      </c>
      <c r="C30" s="24">
        <f t="shared" si="21"/>
        <v>17617265.100000001</v>
      </c>
      <c r="D30" s="25">
        <f t="shared" si="22"/>
        <v>20398481.100000001</v>
      </c>
      <c r="E30" s="24">
        <f t="shared" si="12"/>
        <v>23701175.100000001</v>
      </c>
      <c r="F30" s="25">
        <f t="shared" si="13"/>
        <v>26598275.100000001</v>
      </c>
      <c r="G30" s="24">
        <f t="shared" si="14"/>
        <v>30480389.100000001</v>
      </c>
      <c r="H30" s="25">
        <f t="shared" si="15"/>
        <v>32411789.100000001</v>
      </c>
      <c r="I30" s="24">
        <f t="shared" si="16"/>
        <v>33696170.100000001</v>
      </c>
      <c r="J30" s="25">
        <f t="shared" si="17"/>
        <v>39490370.100000001</v>
      </c>
      <c r="K30" s="24">
        <f t="shared" si="18"/>
        <v>52353494.100000001</v>
      </c>
      <c r="L30" s="25">
        <f t="shared" si="19"/>
        <v>73038788.099999994</v>
      </c>
      <c r="M30" s="24">
        <f t="shared" si="20"/>
        <v>97322280.299999997</v>
      </c>
      <c r="N30" s="35" t="s">
        <v>38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15" x14ac:dyDescent="0.2">
      <c r="A31" s="22">
        <v>18</v>
      </c>
      <c r="B31" s="23">
        <v>27</v>
      </c>
      <c r="C31" s="24">
        <f t="shared" si="21"/>
        <v>17921011.050000001</v>
      </c>
      <c r="D31" s="25">
        <f t="shared" si="22"/>
        <v>20750179.050000001</v>
      </c>
      <c r="E31" s="24">
        <f t="shared" si="12"/>
        <v>24109816.050000001</v>
      </c>
      <c r="F31" s="25">
        <f t="shared" si="13"/>
        <v>27056866.050000001</v>
      </c>
      <c r="G31" s="24">
        <f t="shared" si="14"/>
        <v>31005913.050000001</v>
      </c>
      <c r="H31" s="25">
        <f t="shared" si="15"/>
        <v>32970613.050000001</v>
      </c>
      <c r="I31" s="24">
        <f t="shared" si="16"/>
        <v>34277138.549999997</v>
      </c>
      <c r="J31" s="25">
        <f t="shared" si="17"/>
        <v>40171238.549999997</v>
      </c>
      <c r="K31" s="24">
        <f t="shared" si="18"/>
        <v>53256140.549999997</v>
      </c>
      <c r="L31" s="25">
        <f t="shared" si="19"/>
        <v>74298077.549999997</v>
      </c>
      <c r="M31" s="24">
        <f t="shared" si="20"/>
        <v>99000250.650000006</v>
      </c>
      <c r="N31" s="34" t="s">
        <v>39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15" x14ac:dyDescent="0.2">
      <c r="A32" s="22">
        <v>19</v>
      </c>
      <c r="B32" s="23">
        <v>28</v>
      </c>
      <c r="C32" s="24">
        <f t="shared" si="21"/>
        <v>18224757</v>
      </c>
      <c r="D32" s="25">
        <f t="shared" si="22"/>
        <v>21101877</v>
      </c>
      <c r="E32" s="24">
        <f t="shared" si="12"/>
        <v>24518457</v>
      </c>
      <c r="F32" s="25">
        <f t="shared" si="13"/>
        <v>27515457</v>
      </c>
      <c r="G32" s="24">
        <f t="shared" si="14"/>
        <v>31531437</v>
      </c>
      <c r="H32" s="25">
        <f t="shared" si="15"/>
        <v>33529437</v>
      </c>
      <c r="I32" s="24">
        <f t="shared" si="16"/>
        <v>34858107</v>
      </c>
      <c r="J32" s="25">
        <f t="shared" si="17"/>
        <v>40852107</v>
      </c>
      <c r="K32" s="24">
        <f t="shared" si="18"/>
        <v>54158787</v>
      </c>
      <c r="L32" s="25">
        <f t="shared" si="19"/>
        <v>75557367</v>
      </c>
      <c r="M32" s="24">
        <f t="shared" si="20"/>
        <v>100678221</v>
      </c>
      <c r="N32" s="34" t="s">
        <v>40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</sheetData>
  <printOptions horizontalCentered="1" verticalCentered="1"/>
  <pageMargins left="0.39374999999999999" right="0.39374999999999999" top="0.78749999999999998" bottom="0.196527777777778" header="0.51180555555555496" footer="0.51180555555555496"/>
  <pageSetup paperSize="0" scale="0" firstPageNumber="0" orientation="portrait" usePrinterDefaults="0" horizontalDpi="0" verticalDpi="0" copies="0"/>
  <headerFooter>
    <oddHeader>&amp;C&amp;"Comic Sans MS,Standard"Gehaltstabellen von 01.10.1990 bis 31.12.1993 / Tabelle stipendiali dal 01.10.1990  bis 31.12.1993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zoomScaleNormal="100" workbookViewId="0">
      <selection activeCell="K6" sqref="K6"/>
    </sheetView>
  </sheetViews>
  <sheetFormatPr baseColWidth="10" defaultColWidth="9.140625" defaultRowHeight="12.75" x14ac:dyDescent="0.2"/>
  <cols>
    <col min="1" max="1" width="24.85546875"/>
    <col min="2" max="3" width="11.5703125"/>
    <col min="4" max="4" width="12.140625"/>
    <col min="5" max="10" width="11.5703125"/>
    <col min="11" max="256" width="11.28515625"/>
    <col min="257" max="1025" width="11.5703125"/>
  </cols>
  <sheetData>
    <row r="1" spans="1:256" ht="15.75" x14ac:dyDescent="0.25">
      <c r="A1" s="77"/>
      <c r="B1" s="9" t="s">
        <v>44</v>
      </c>
      <c r="C1" s="40" t="s">
        <v>45</v>
      </c>
      <c r="D1" s="9" t="s">
        <v>46</v>
      </c>
      <c r="E1" s="40" t="s">
        <v>47</v>
      </c>
      <c r="F1" s="9" t="s">
        <v>48</v>
      </c>
      <c r="G1" s="40" t="s">
        <v>49</v>
      </c>
      <c r="H1" s="9" t="s">
        <v>50</v>
      </c>
      <c r="I1" s="40" t="s">
        <v>51</v>
      </c>
      <c r="J1" s="9" t="s">
        <v>52</v>
      </c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</row>
    <row r="2" spans="1:256" ht="15" x14ac:dyDescent="0.2">
      <c r="A2" s="81" t="s">
        <v>10</v>
      </c>
      <c r="B2" s="81"/>
      <c r="C2" s="69"/>
      <c r="D2" s="81"/>
      <c r="E2" s="69"/>
      <c r="F2" s="81"/>
      <c r="G2" s="69"/>
      <c r="H2" s="81"/>
      <c r="I2" s="69"/>
      <c r="J2" s="81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</row>
    <row r="3" spans="1:256" ht="15.75" x14ac:dyDescent="0.25">
      <c r="A3" s="100" t="s">
        <v>11</v>
      </c>
      <c r="B3" s="47">
        <v>501.88</v>
      </c>
      <c r="C3" s="49">
        <v>605.29</v>
      </c>
      <c r="D3" s="47">
        <v>657.61</v>
      </c>
      <c r="E3" s="49">
        <v>709.93</v>
      </c>
      <c r="F3" s="47">
        <v>799.35</v>
      </c>
      <c r="G3" s="49">
        <v>891.82</v>
      </c>
      <c r="H3" s="47">
        <v>1057.8900000000001</v>
      </c>
      <c r="I3" s="49">
        <v>1292.0999999999999</v>
      </c>
      <c r="J3" s="47">
        <v>1543.65</v>
      </c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</row>
    <row r="4" spans="1:256" ht="15" x14ac:dyDescent="0.2">
      <c r="A4" s="101" t="s">
        <v>53</v>
      </c>
      <c r="B4" s="50">
        <f>B$3+B$3*6/100</f>
        <v>531.99279999999999</v>
      </c>
      <c r="C4" s="52">
        <f>C$3+C$3*6/100</f>
        <v>641.60739999999998</v>
      </c>
      <c r="D4" s="50">
        <v>697.06</v>
      </c>
      <c r="E4" s="52">
        <v>752.52</v>
      </c>
      <c r="F4" s="50">
        <f>F$3+F$3*6/100</f>
        <v>847.31100000000004</v>
      </c>
      <c r="G4" s="52">
        <f>G$3+G$3*6/100</f>
        <v>945.32920000000001</v>
      </c>
      <c r="H4" s="50">
        <v>1121.3699999999999</v>
      </c>
      <c r="I4" s="52">
        <f>I$3+I$3*6/100</f>
        <v>1369.626</v>
      </c>
      <c r="J4" s="50">
        <v>1636.26</v>
      </c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</row>
    <row r="5" spans="1:256" ht="15" x14ac:dyDescent="0.2">
      <c r="A5" s="101" t="s">
        <v>54</v>
      </c>
      <c r="B5" s="50">
        <v>562.1</v>
      </c>
      <c r="C5" s="52">
        <v>677.93</v>
      </c>
      <c r="D5" s="50">
        <f>D$3+D$3*6/100*2</f>
        <v>736.52319999999997</v>
      </c>
      <c r="E5" s="52">
        <f>E$3+E$3*6/100*2</f>
        <v>795.12159999999994</v>
      </c>
      <c r="F5" s="50">
        <f>F$3+F$3*6/100*2</f>
        <v>895.27200000000005</v>
      </c>
      <c r="G5" s="52">
        <v>998.83</v>
      </c>
      <c r="H5" s="50">
        <f>H$3+H$3*6/100*2</f>
        <v>1184.8368</v>
      </c>
      <c r="I5" s="52">
        <f>I$3+I$3*6/100*2</f>
        <v>1447.1519999999998</v>
      </c>
      <c r="J5" s="50">
        <v>1728.88</v>
      </c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</row>
    <row r="6" spans="1:256" ht="15" x14ac:dyDescent="0.2">
      <c r="A6" s="101" t="s">
        <v>55</v>
      </c>
      <c r="B6" s="50">
        <v>592.21</v>
      </c>
      <c r="C6" s="52">
        <f>C$3+C$3*6/100*3</f>
        <v>714.24219999999991</v>
      </c>
      <c r="D6" s="50">
        <f>D$3+D$3*6/100*3</f>
        <v>775.97980000000007</v>
      </c>
      <c r="E6" s="52">
        <v>837.71</v>
      </c>
      <c r="F6" s="50">
        <f>F$3+F$3*6/100*3</f>
        <v>943.23300000000006</v>
      </c>
      <c r="G6" s="52">
        <v>1052.3399999999999</v>
      </c>
      <c r="H6" s="50">
        <f>H$3+H$3*6/100*3</f>
        <v>1248.3102000000001</v>
      </c>
      <c r="I6" s="52">
        <f>I$3+I$3*6/100*3</f>
        <v>1524.6779999999999</v>
      </c>
      <c r="J6" s="50">
        <v>1821.5</v>
      </c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</row>
    <row r="7" spans="1:256" ht="15" x14ac:dyDescent="0.2">
      <c r="A7" s="89"/>
      <c r="B7" s="89"/>
      <c r="C7" s="102"/>
      <c r="D7" s="89"/>
      <c r="E7" s="102"/>
      <c r="F7" s="89"/>
      <c r="G7" s="102"/>
      <c r="H7" s="89"/>
      <c r="I7" s="102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</row>
    <row r="8" spans="1:256" ht="15" x14ac:dyDescent="0.2">
      <c r="A8" s="83" t="s">
        <v>56</v>
      </c>
      <c r="B8" s="83"/>
      <c r="C8" s="103"/>
      <c r="D8" s="83"/>
      <c r="E8" s="103"/>
      <c r="F8" s="83"/>
      <c r="G8" s="103"/>
      <c r="H8" s="83"/>
      <c r="I8" s="10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  <c r="IV8" s="83"/>
    </row>
    <row r="9" spans="1:256" ht="15.75" x14ac:dyDescent="0.25">
      <c r="A9" s="100" t="s">
        <v>11</v>
      </c>
      <c r="B9" s="47">
        <v>629.32000000000005</v>
      </c>
      <c r="C9" s="49">
        <v>775.02</v>
      </c>
      <c r="D9" s="47">
        <v>848.32</v>
      </c>
      <c r="E9" s="49">
        <v>921.63</v>
      </c>
      <c r="F9" s="47">
        <v>1036.9000000000001</v>
      </c>
      <c r="G9" s="49">
        <v>1178.95</v>
      </c>
      <c r="H9" s="47">
        <v>1397.65</v>
      </c>
      <c r="I9" s="49">
        <v>1677.18</v>
      </c>
      <c r="J9" s="47">
        <v>2057.9899999999998</v>
      </c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</row>
    <row r="10" spans="1:256" ht="15" x14ac:dyDescent="0.2">
      <c r="A10" s="101" t="s">
        <v>57</v>
      </c>
      <c r="B10" s="50">
        <f>B$9+B$9*3/100*1</f>
        <v>648.19960000000003</v>
      </c>
      <c r="C10" s="52">
        <f>C$9+C$9*3/100*1</f>
        <v>798.27059999999994</v>
      </c>
      <c r="D10" s="50">
        <f>D$9+D$9*3/100*1</f>
        <v>873.76960000000008</v>
      </c>
      <c r="E10" s="52">
        <v>949.27</v>
      </c>
      <c r="F10" s="50">
        <f>F$9+F$9*3/100*1</f>
        <v>1068.0070000000001</v>
      </c>
      <c r="G10" s="52">
        <f>G$9+G$9*3/100*1</f>
        <v>1214.3185000000001</v>
      </c>
      <c r="H10" s="50">
        <f>H$9+H$9*3/100*1</f>
        <v>1439.5795000000001</v>
      </c>
      <c r="I10" s="52">
        <v>1727.49</v>
      </c>
      <c r="J10" s="50">
        <f>J$9+J$9*3/100*1</f>
        <v>2119.7296999999999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</row>
    <row r="11" spans="1:256" ht="15" x14ac:dyDescent="0.2">
      <c r="A11" s="101" t="s">
        <v>58</v>
      </c>
      <c r="B11" s="50">
        <f>B$9+B$9*3/100*2</f>
        <v>667.07920000000001</v>
      </c>
      <c r="C11" s="52">
        <f>C$9+C$9*3/100*2</f>
        <v>821.52120000000002</v>
      </c>
      <c r="D11" s="50">
        <f>D$9+D$9*3/100*2</f>
        <v>899.2192</v>
      </c>
      <c r="E11" s="52">
        <v>976.92</v>
      </c>
      <c r="F11" s="50">
        <v>1099.1199999999999</v>
      </c>
      <c r="G11" s="52">
        <f>G$9+G$9*3/100*2</f>
        <v>1249.6870000000001</v>
      </c>
      <c r="H11" s="50">
        <v>1481.5</v>
      </c>
      <c r="I11" s="52">
        <f>I$9+I$9*3/100*2</f>
        <v>1777.8108</v>
      </c>
      <c r="J11" s="50">
        <f>J$9+J$9*3/100*2</f>
        <v>2181.4694</v>
      </c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  <c r="IV11" s="89"/>
    </row>
    <row r="12" spans="1:256" ht="15" x14ac:dyDescent="0.2">
      <c r="A12" s="101" t="s">
        <v>59</v>
      </c>
      <c r="B12" s="50">
        <f>B$9+B$9*3/100*3</f>
        <v>685.95880000000011</v>
      </c>
      <c r="C12" s="52">
        <f>C$9+C$9*3/100*3</f>
        <v>844.77179999999998</v>
      </c>
      <c r="D12" s="50">
        <f>D$9+D$9*3/100*3</f>
        <v>924.66880000000003</v>
      </c>
      <c r="E12" s="52">
        <v>1004.57</v>
      </c>
      <c r="F12" s="50">
        <v>1130.23</v>
      </c>
      <c r="G12" s="52">
        <f>G$9+G$9*3/100*3</f>
        <v>1285.0554999999999</v>
      </c>
      <c r="H12" s="50">
        <v>1523.43</v>
      </c>
      <c r="I12" s="52">
        <v>1828.12</v>
      </c>
      <c r="J12" s="50">
        <f>J$9+J$9*3/100*3</f>
        <v>2243.2090999999996</v>
      </c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  <c r="IV12" s="89"/>
    </row>
    <row r="13" spans="1:256" ht="15" x14ac:dyDescent="0.2">
      <c r="A13" s="101" t="s">
        <v>60</v>
      </c>
      <c r="B13" s="50">
        <f>B$9+B$9*3/100*4</f>
        <v>704.83840000000009</v>
      </c>
      <c r="C13" s="52">
        <f>C$9+C$9*3/100*4</f>
        <v>868.02239999999995</v>
      </c>
      <c r="D13" s="50">
        <f>D$9+D$9*3/100*4</f>
        <v>950.11840000000007</v>
      </c>
      <c r="E13" s="52">
        <v>1032.22</v>
      </c>
      <c r="F13" s="50">
        <f>F$9+F$9*3/100*4</f>
        <v>1161.3280000000002</v>
      </c>
      <c r="G13" s="52">
        <f>G$9+G$9*3/100*4</f>
        <v>1320.424</v>
      </c>
      <c r="H13" s="50">
        <v>1565.36</v>
      </c>
      <c r="I13" s="52">
        <f>I$9+I$9*3/100*4</f>
        <v>1878.4416000000001</v>
      </c>
      <c r="J13" s="50">
        <f>J$9+J$9*3/100*4</f>
        <v>2304.9487999999997</v>
      </c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  <c r="IV13" s="89"/>
    </row>
    <row r="14" spans="1:256" ht="15" x14ac:dyDescent="0.2">
      <c r="A14" s="101" t="s">
        <v>61</v>
      </c>
      <c r="B14" s="50">
        <f t="shared" ref="B14:G14" si="0">B$9+B$9*3/100*5</f>
        <v>723.71800000000007</v>
      </c>
      <c r="C14" s="52">
        <f t="shared" si="0"/>
        <v>891.27299999999991</v>
      </c>
      <c r="D14" s="50">
        <f t="shared" si="0"/>
        <v>975.5680000000001</v>
      </c>
      <c r="E14" s="52">
        <f t="shared" si="0"/>
        <v>1059.8744999999999</v>
      </c>
      <c r="F14" s="50">
        <f t="shared" si="0"/>
        <v>1192.4350000000002</v>
      </c>
      <c r="G14" s="52">
        <f t="shared" si="0"/>
        <v>1355.7925</v>
      </c>
      <c r="H14" s="50">
        <v>1607.29</v>
      </c>
      <c r="I14" s="52">
        <v>1928.75</v>
      </c>
      <c r="J14" s="50">
        <f>J$9+J$9*3/100*5</f>
        <v>2366.6884999999997</v>
      </c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  <c r="IV14" s="89"/>
    </row>
    <row r="15" spans="1:256" ht="15" x14ac:dyDescent="0.2">
      <c r="A15" s="101" t="s">
        <v>62</v>
      </c>
      <c r="B15" s="50">
        <f>B$9+B$9*3/100*6</f>
        <v>742.59760000000006</v>
      </c>
      <c r="C15" s="52">
        <f>C$9+C$9*3/100*6</f>
        <v>914.52359999999999</v>
      </c>
      <c r="D15" s="50">
        <f>D$9+D$9*3/100*6</f>
        <v>1001.0176</v>
      </c>
      <c r="E15" s="52">
        <f>E$9+E$9*3/100*6</f>
        <v>1087.5234</v>
      </c>
      <c r="F15" s="50">
        <v>1223.55</v>
      </c>
      <c r="G15" s="52">
        <f>G$9+G$9*3/100*6</f>
        <v>1391.1610000000001</v>
      </c>
      <c r="H15" s="50">
        <v>1649.22</v>
      </c>
      <c r="I15" s="52">
        <f>I$9+I$9*3/100*6</f>
        <v>1979.0724</v>
      </c>
      <c r="J15" s="50">
        <f>J$9+J$9*3/100*6</f>
        <v>2428.4281999999998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</row>
    <row r="16" spans="1:256" ht="15" x14ac:dyDescent="0.2">
      <c r="A16" s="101" t="s">
        <v>63</v>
      </c>
      <c r="B16" s="50">
        <f t="shared" ref="B16:G16" si="1">B$9+B$9*3/100*7</f>
        <v>761.47720000000004</v>
      </c>
      <c r="C16" s="52">
        <f t="shared" si="1"/>
        <v>937.77419999999995</v>
      </c>
      <c r="D16" s="50">
        <f t="shared" si="1"/>
        <v>1026.4672</v>
      </c>
      <c r="E16" s="52">
        <f t="shared" si="1"/>
        <v>1115.1723</v>
      </c>
      <c r="F16" s="50">
        <f t="shared" si="1"/>
        <v>1254.6490000000001</v>
      </c>
      <c r="G16" s="52">
        <f t="shared" si="1"/>
        <v>1426.5295000000001</v>
      </c>
      <c r="H16" s="50">
        <v>1691.15</v>
      </c>
      <c r="I16" s="52">
        <v>2029.38</v>
      </c>
      <c r="J16" s="50">
        <f>J$9+J$9*3/100*7</f>
        <v>2490.1678999999999</v>
      </c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89"/>
      <c r="IV16" s="89"/>
    </row>
    <row r="17" spans="1:256" ht="15" x14ac:dyDescent="0.2">
      <c r="A17" s="101" t="s">
        <v>64</v>
      </c>
      <c r="B17" s="50">
        <f t="shared" ref="B17:G17" si="2">B$9+B$9*3/100*8</f>
        <v>780.35680000000002</v>
      </c>
      <c r="C17" s="52">
        <f t="shared" si="2"/>
        <v>961.02479999999991</v>
      </c>
      <c r="D17" s="50">
        <f t="shared" si="2"/>
        <v>1051.9168</v>
      </c>
      <c r="E17" s="52">
        <f t="shared" si="2"/>
        <v>1142.8211999999999</v>
      </c>
      <c r="F17" s="50">
        <f t="shared" si="2"/>
        <v>1285.7560000000001</v>
      </c>
      <c r="G17" s="52">
        <f t="shared" si="2"/>
        <v>1461.8980000000001</v>
      </c>
      <c r="H17" s="50">
        <v>1733.08</v>
      </c>
      <c r="I17" s="52">
        <f>I$9+I$9*3/100*8</f>
        <v>2079.7031999999999</v>
      </c>
      <c r="J17" s="50">
        <f>J$9+J$9*3/100*8</f>
        <v>2551.9075999999995</v>
      </c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</row>
    <row r="18" spans="1:256" ht="15" x14ac:dyDescent="0.2">
      <c r="A18" s="101" t="s">
        <v>65</v>
      </c>
      <c r="B18" s="50">
        <f>B$9+B$9*3/100*9</f>
        <v>799.2364</v>
      </c>
      <c r="C18" s="52">
        <v>984.27</v>
      </c>
      <c r="D18" s="50">
        <f>D$9+D$9*3/100*9</f>
        <v>1077.3664000000001</v>
      </c>
      <c r="E18" s="52">
        <v>1170.46</v>
      </c>
      <c r="F18" s="50">
        <v>1316.87</v>
      </c>
      <c r="G18" s="52">
        <f>G$9+G$9*3/100*9</f>
        <v>1497.2665000000002</v>
      </c>
      <c r="H18" s="50">
        <v>1775.01</v>
      </c>
      <c r="I18" s="52">
        <v>2130.0100000000002</v>
      </c>
      <c r="J18" s="50">
        <f>J$9+J$9*3/100*9</f>
        <v>2613.6472999999996</v>
      </c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  <c r="IV18" s="89"/>
    </row>
    <row r="19" spans="1:256" ht="15" x14ac:dyDescent="0.2">
      <c r="A19" s="101" t="s">
        <v>66</v>
      </c>
      <c r="B19" s="50">
        <f>B$9+B$9*3/100*10</f>
        <v>818.11599999999999</v>
      </c>
      <c r="C19" s="52">
        <v>1007.52</v>
      </c>
      <c r="D19" s="50">
        <f>D$9+D$9*3/100*10</f>
        <v>1102.816</v>
      </c>
      <c r="E19" s="52">
        <v>1198.1099999999999</v>
      </c>
      <c r="F19" s="50">
        <v>1347.98</v>
      </c>
      <c r="G19" s="52">
        <f>G$9+G$9*3/100*10</f>
        <v>1532.6350000000002</v>
      </c>
      <c r="H19" s="50">
        <v>1816.94</v>
      </c>
      <c r="I19" s="52">
        <f>I$9+I$9*3/100*10</f>
        <v>2180.3339999999998</v>
      </c>
      <c r="J19" s="50">
        <f>J$9+J$9*3/100*10</f>
        <v>2675.3869999999997</v>
      </c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  <c r="IV19" s="89"/>
    </row>
    <row r="20" spans="1:256" ht="15" x14ac:dyDescent="0.2">
      <c r="A20" s="101" t="s">
        <v>67</v>
      </c>
      <c r="B20" s="50">
        <f>B$9+B$9*3/100*11</f>
        <v>836.99560000000008</v>
      </c>
      <c r="C20" s="52">
        <v>1030.77</v>
      </c>
      <c r="D20" s="50">
        <f>D$9+D$9*3/100*11</f>
        <v>1128.2656000000002</v>
      </c>
      <c r="E20" s="52">
        <v>1225.76</v>
      </c>
      <c r="F20" s="50">
        <f>F$9+F$9*3/100*11</f>
        <v>1379.0770000000002</v>
      </c>
      <c r="G20" s="52">
        <f>G$9+G$9*3/100*11</f>
        <v>1568.0035</v>
      </c>
      <c r="H20" s="50">
        <f>H$9+H$9*3/100*11</f>
        <v>1858.8745000000001</v>
      </c>
      <c r="I20" s="52">
        <v>2230.64</v>
      </c>
      <c r="J20" s="50">
        <f>J$9+J$9*3/100*11</f>
        <v>2737.1266999999998</v>
      </c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  <c r="IV20" s="89"/>
    </row>
    <row r="21" spans="1:256" ht="15" x14ac:dyDescent="0.2">
      <c r="A21" s="101" t="s">
        <v>68</v>
      </c>
      <c r="B21" s="50">
        <f>B$9+B$9*3/100*12</f>
        <v>855.87520000000006</v>
      </c>
      <c r="C21" s="52">
        <v>1054.02</v>
      </c>
      <c r="D21" s="50">
        <f>D$9+D$9*3/100*12</f>
        <v>1153.7152000000001</v>
      </c>
      <c r="E21" s="52">
        <v>1253.4100000000001</v>
      </c>
      <c r="F21" s="50">
        <v>1410.19</v>
      </c>
      <c r="G21" s="52">
        <f>G$9+G$9*3/100*12</f>
        <v>1603.3720000000001</v>
      </c>
      <c r="H21" s="50">
        <f>H$9+H$9*3/100*12</f>
        <v>1900.8040000000001</v>
      </c>
      <c r="I21" s="52">
        <f>I$9+I$9*3/100*12</f>
        <v>2280.9647999999997</v>
      </c>
      <c r="J21" s="50">
        <f>J$9+J$9*3/100*12</f>
        <v>2798.8663999999999</v>
      </c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  <c r="IV21" s="89"/>
    </row>
    <row r="22" spans="1:256" ht="15" x14ac:dyDescent="0.2">
      <c r="A22" s="101" t="s">
        <v>69</v>
      </c>
      <c r="B22" s="50">
        <v>874.76</v>
      </c>
      <c r="C22" s="52">
        <v>1077.27</v>
      </c>
      <c r="D22" s="50">
        <v>1179.17</v>
      </c>
      <c r="E22" s="52">
        <v>1281.06</v>
      </c>
      <c r="F22" s="50">
        <v>1441.3</v>
      </c>
      <c r="G22" s="52">
        <f>G$9+G$9*3/100*13</f>
        <v>1638.7405000000001</v>
      </c>
      <c r="H22" s="50">
        <f>H$9+H$9*3/100*13</f>
        <v>1942.7335000000003</v>
      </c>
      <c r="I22" s="52">
        <v>2331.27</v>
      </c>
      <c r="J22" s="50">
        <f>J$9+J$9*3/100*13</f>
        <v>2860.6060999999995</v>
      </c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  <c r="IV22" s="89"/>
    </row>
    <row r="23" spans="1:256" ht="15" x14ac:dyDescent="0.2">
      <c r="A23" s="101" t="s">
        <v>70</v>
      </c>
      <c r="B23" s="50">
        <v>893.64</v>
      </c>
      <c r="C23" s="52">
        <v>1100.52</v>
      </c>
      <c r="D23" s="50">
        <v>1204.6199999999999</v>
      </c>
      <c r="E23" s="52">
        <f>E$9+E$9*3/100*14</f>
        <v>1308.7146</v>
      </c>
      <c r="F23" s="50">
        <f>F$9+F$9*3/100*14</f>
        <v>1472.3980000000001</v>
      </c>
      <c r="G23" s="52">
        <f>G$9+G$9*3/100*14</f>
        <v>1674.1090000000002</v>
      </c>
      <c r="H23" s="50">
        <f>H$9+H$9*3/100*14</f>
        <v>1984.663</v>
      </c>
      <c r="I23" s="52">
        <v>2381.59</v>
      </c>
      <c r="J23" s="50">
        <f>J$9+J$9*3/100*14</f>
        <v>2922.3457999999996</v>
      </c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  <c r="IR23" s="89"/>
      <c r="IS23" s="89"/>
      <c r="IT23" s="89"/>
      <c r="IU23" s="89"/>
      <c r="IV23" s="89"/>
    </row>
    <row r="24" spans="1:256" ht="15" x14ac:dyDescent="0.2">
      <c r="A24" s="101" t="s">
        <v>71</v>
      </c>
      <c r="B24" s="50">
        <v>912.52</v>
      </c>
      <c r="C24" s="52">
        <v>1123.77</v>
      </c>
      <c r="D24" s="50">
        <v>1230.07</v>
      </c>
      <c r="E24" s="52">
        <f>E$9+E$9*3/100*15</f>
        <v>1336.3634999999999</v>
      </c>
      <c r="F24" s="50">
        <f>F$9+F$9*3/100*15</f>
        <v>1503.5050000000001</v>
      </c>
      <c r="G24" s="52">
        <f>G$9+G$9*3/100*15</f>
        <v>1709.4775</v>
      </c>
      <c r="H24" s="50">
        <f>H$9+H$9*3/100*15</f>
        <v>2026.5925000000002</v>
      </c>
      <c r="I24" s="52">
        <v>2431.9</v>
      </c>
      <c r="J24" s="50">
        <f>J$9+J$9*3/100*15</f>
        <v>2984.0854999999997</v>
      </c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  <c r="IR24" s="89"/>
      <c r="IS24" s="89"/>
      <c r="IT24" s="89"/>
      <c r="IU24" s="89"/>
      <c r="IV24" s="89"/>
    </row>
    <row r="25" spans="1:256" ht="15" x14ac:dyDescent="0.2">
      <c r="A25" s="101" t="s">
        <v>72</v>
      </c>
      <c r="B25" s="50">
        <f>B$9+B$9*3/100*16</f>
        <v>931.39360000000011</v>
      </c>
      <c r="C25" s="52">
        <v>1147.02</v>
      </c>
      <c r="D25" s="50">
        <f>D$9+D$9*3/100*16</f>
        <v>1255.5136</v>
      </c>
      <c r="E25" s="52">
        <f>E$9+E$9*3/100*16</f>
        <v>1364.0124000000001</v>
      </c>
      <c r="F25" s="50">
        <v>1534.62</v>
      </c>
      <c r="G25" s="52">
        <f>G$9+G$9*3/100*16</f>
        <v>1744.846</v>
      </c>
      <c r="H25" s="50">
        <f>H$9+H$9*3/100*16</f>
        <v>2068.5219999999999</v>
      </c>
      <c r="I25" s="52">
        <v>2482.2199999999998</v>
      </c>
      <c r="J25" s="50">
        <f>J$9+J$9*3/100*16</f>
        <v>3045.8251999999998</v>
      </c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  <c r="IR25" s="89"/>
      <c r="IS25" s="89"/>
      <c r="IT25" s="89"/>
      <c r="IU25" s="89"/>
      <c r="IV25" s="89"/>
    </row>
    <row r="26" spans="1:256" ht="15" x14ac:dyDescent="0.2">
      <c r="A26" s="101" t="s">
        <v>73</v>
      </c>
      <c r="B26" s="50">
        <f>B$9+B$9*3/100*17</f>
        <v>950.27320000000009</v>
      </c>
      <c r="C26" s="52">
        <f>C$9+C$9*3/100*17</f>
        <v>1170.2801999999999</v>
      </c>
      <c r="D26" s="50">
        <f>D$9+D$9*3/100*17</f>
        <v>1280.9632000000001</v>
      </c>
      <c r="E26" s="52">
        <v>1391.65</v>
      </c>
      <c r="F26" s="50">
        <v>1565.73</v>
      </c>
      <c r="G26" s="52">
        <f>G$9+G$9*3/100*17</f>
        <v>1780.2145</v>
      </c>
      <c r="H26" s="50">
        <f>H$9+H$9*3/100*17</f>
        <v>2110.4515000000001</v>
      </c>
      <c r="I26" s="52">
        <v>2532.5300000000002</v>
      </c>
      <c r="J26" s="50">
        <v>3107.57</v>
      </c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  <c r="IR26" s="89"/>
      <c r="IS26" s="89"/>
      <c r="IT26" s="89"/>
      <c r="IU26" s="89"/>
      <c r="IV26" s="89"/>
    </row>
    <row r="27" spans="1:256" ht="15" x14ac:dyDescent="0.2">
      <c r="A27" s="101" t="s">
        <v>74</v>
      </c>
      <c r="B27" s="50">
        <f>B$9+B$9*3/100*18</f>
        <v>969.15280000000007</v>
      </c>
      <c r="C27" s="52">
        <f>C$9+C$9*3/100*18</f>
        <v>1193.5308</v>
      </c>
      <c r="D27" s="50">
        <f>D$9+D$9*3/100*18</f>
        <v>1306.4128000000001</v>
      </c>
      <c r="E27" s="52">
        <v>1419.3</v>
      </c>
      <c r="F27" s="50">
        <f>F$9+F$9*3/100*18</f>
        <v>1596.826</v>
      </c>
      <c r="G27" s="52">
        <f>G$9+G$9*3/100*18</f>
        <v>1815.5830000000001</v>
      </c>
      <c r="H27" s="50">
        <v>2152.37</v>
      </c>
      <c r="I27" s="52">
        <v>2582.85</v>
      </c>
      <c r="J27" s="50">
        <v>3169.31</v>
      </c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  <c r="IR27" s="89"/>
      <c r="IS27" s="89"/>
      <c r="IT27" s="89"/>
      <c r="IU27" s="89"/>
      <c r="IV27" s="89"/>
    </row>
    <row r="28" spans="1:256" ht="15" x14ac:dyDescent="0.2">
      <c r="A28" s="101" t="s">
        <v>75</v>
      </c>
      <c r="B28" s="50">
        <f>B$9+B$9*3/100*19</f>
        <v>988.03240000000005</v>
      </c>
      <c r="C28" s="52">
        <f>C$9+C$9*3/100*19</f>
        <v>1216.7813999999998</v>
      </c>
      <c r="D28" s="50">
        <f>D$9+D$9*3/100*19</f>
        <v>1331.8624</v>
      </c>
      <c r="E28" s="52">
        <v>1446.95</v>
      </c>
      <c r="F28" s="50">
        <v>1627.94</v>
      </c>
      <c r="G28" s="52">
        <f>G$9+G$9*3/100*19</f>
        <v>1850.9515000000001</v>
      </c>
      <c r="H28" s="50">
        <v>2194.3000000000002</v>
      </c>
      <c r="I28" s="52">
        <v>2633.16</v>
      </c>
      <c r="J28" s="50">
        <v>3231.05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89"/>
      <c r="IQ28" s="89"/>
      <c r="IR28" s="89"/>
      <c r="IS28" s="89"/>
      <c r="IT28" s="89"/>
      <c r="IU28" s="89"/>
      <c r="IV28" s="89"/>
    </row>
    <row r="29" spans="1:256" ht="15" x14ac:dyDescent="0.2">
      <c r="A29" s="101" t="s">
        <v>76</v>
      </c>
      <c r="B29" s="50">
        <f>B$9+B$9*3/100*20</f>
        <v>1006.912</v>
      </c>
      <c r="C29" s="52">
        <f>C$9+C$9*3/100*20</f>
        <v>1240.0319999999999</v>
      </c>
      <c r="D29" s="50">
        <f>D$9+D$9*3/100*20</f>
        <v>1357.3120000000001</v>
      </c>
      <c r="E29" s="52">
        <v>1474.6</v>
      </c>
      <c r="F29" s="50">
        <v>1659.05</v>
      </c>
      <c r="G29" s="52">
        <f>G$9+G$9*3/100*20</f>
        <v>1886.3200000000002</v>
      </c>
      <c r="H29" s="50">
        <v>2236.23</v>
      </c>
      <c r="I29" s="52">
        <v>2683.48</v>
      </c>
      <c r="J29" s="50">
        <v>3292.79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89"/>
      <c r="IT29" s="89"/>
      <c r="IU29" s="89"/>
      <c r="IV29" s="89"/>
    </row>
    <row r="30" spans="1:256" ht="15" x14ac:dyDescent="0.2">
      <c r="A30" s="101" t="s">
        <v>77</v>
      </c>
      <c r="B30" s="50">
        <f>B$9+B$9*3/100*21</f>
        <v>1025.7916</v>
      </c>
      <c r="C30" s="52">
        <f>C$9+C$9*3/100*21</f>
        <v>1263.2826</v>
      </c>
      <c r="D30" s="50">
        <f>D$9+D$9*3/100*21</f>
        <v>1382.7616</v>
      </c>
      <c r="E30" s="52">
        <v>1502.25</v>
      </c>
      <c r="F30" s="50">
        <f>F$9+F$9*3/100*21</f>
        <v>1690.1470000000002</v>
      </c>
      <c r="G30" s="52">
        <f>G$9+G$9*3/100*21</f>
        <v>1921.6885000000002</v>
      </c>
      <c r="H30" s="50">
        <v>2278.16</v>
      </c>
      <c r="I30" s="52">
        <f>I$9+I$9*3/100*21</f>
        <v>2733.8033999999998</v>
      </c>
      <c r="J30" s="50">
        <v>3354.53</v>
      </c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89"/>
      <c r="IS30" s="89"/>
      <c r="IT30" s="89"/>
      <c r="IU30" s="89"/>
      <c r="IV30" s="89"/>
    </row>
    <row r="31" spans="1:256" ht="15" x14ac:dyDescent="0.2">
      <c r="A31" s="101" t="s">
        <v>78</v>
      </c>
      <c r="B31" s="50">
        <f>B$9+B$9*3/100*22</f>
        <v>1044.6712</v>
      </c>
      <c r="C31" s="52">
        <f>C$9+C$9*3/100*22</f>
        <v>1286.5331999999999</v>
      </c>
      <c r="D31" s="50">
        <f>D$9+D$9*3/100*22</f>
        <v>1408.2112000000002</v>
      </c>
      <c r="E31" s="52">
        <v>1529.9</v>
      </c>
      <c r="F31" s="50">
        <v>1721.26</v>
      </c>
      <c r="G31" s="52">
        <f>G$9+G$9*3/100*22</f>
        <v>1957.0570000000002</v>
      </c>
      <c r="H31" s="50">
        <v>2320.09</v>
      </c>
      <c r="I31" s="52">
        <v>2784.11</v>
      </c>
      <c r="J31" s="50">
        <v>3416.27</v>
      </c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  <c r="IT31" s="89"/>
      <c r="IU31" s="89"/>
      <c r="IV31" s="89"/>
    </row>
    <row r="32" spans="1:256" ht="15" x14ac:dyDescent="0.2">
      <c r="A32" s="101" t="s">
        <v>79</v>
      </c>
      <c r="B32" s="50">
        <f>B$9+B$9*3/100*23</f>
        <v>1063.5508</v>
      </c>
      <c r="C32" s="52">
        <f>C$9+C$9*3/100*23</f>
        <v>1309.7837999999999</v>
      </c>
      <c r="D32" s="50">
        <f>D$9+D$9*3/100*23</f>
        <v>1433.6608000000001</v>
      </c>
      <c r="E32" s="52">
        <f>E$9+E$9*3/100*23</f>
        <v>1557.5546999999999</v>
      </c>
      <c r="F32" s="50">
        <v>1752.37</v>
      </c>
      <c r="G32" s="52">
        <f>G$9+G$9*3/100*23</f>
        <v>1992.4255000000003</v>
      </c>
      <c r="H32" s="50">
        <v>2362.02</v>
      </c>
      <c r="I32" s="52">
        <f>I$9+I$9*3/100*23</f>
        <v>2834.4341999999997</v>
      </c>
      <c r="J32" s="50">
        <v>3478.01</v>
      </c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  <c r="IV32" s="89"/>
    </row>
    <row r="33" spans="1:256" ht="15" x14ac:dyDescent="0.2">
      <c r="A33" s="101" t="s">
        <v>80</v>
      </c>
      <c r="B33" s="50">
        <f>B$9+B$9*3/100*24</f>
        <v>1082.4304000000002</v>
      </c>
      <c r="C33" s="52">
        <f>C$9+C$9*3/100*24</f>
        <v>1333.0344</v>
      </c>
      <c r="D33" s="50">
        <f>D$9+D$9*3/100*24</f>
        <v>1459.1104</v>
      </c>
      <c r="E33" s="52">
        <f>E$9+E$9*3/100*24</f>
        <v>1585.2035999999998</v>
      </c>
      <c r="F33" s="50">
        <v>1783.48</v>
      </c>
      <c r="G33" s="52">
        <f>G$9+G$9*3/100*24</f>
        <v>2027.7940000000001</v>
      </c>
      <c r="H33" s="50">
        <v>2403.9499999999998</v>
      </c>
      <c r="I33" s="52">
        <v>2884.74</v>
      </c>
      <c r="J33" s="50">
        <v>3539.75</v>
      </c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89"/>
      <c r="IQ33" s="89"/>
      <c r="IR33" s="89"/>
      <c r="IS33" s="89"/>
      <c r="IT33" s="89"/>
      <c r="IU33" s="89"/>
      <c r="IV33" s="89"/>
    </row>
    <row r="34" spans="1:256" ht="15" x14ac:dyDescent="0.2">
      <c r="A34" s="101" t="s">
        <v>81</v>
      </c>
      <c r="B34" s="50">
        <f>B$9+B$9*3/100*25</f>
        <v>1101.31</v>
      </c>
      <c r="C34" s="52">
        <v>1356.28</v>
      </c>
      <c r="D34" s="50">
        <f>D$9+D$9*3/100*25</f>
        <v>1484.56</v>
      </c>
      <c r="E34" s="52">
        <v>1612.84</v>
      </c>
      <c r="F34" s="50">
        <f>F$9+F$9*3/100*25</f>
        <v>1814.5750000000003</v>
      </c>
      <c r="G34" s="52">
        <f>G$9+G$9*3/100*25</f>
        <v>2063.1625000000004</v>
      </c>
      <c r="H34" s="50">
        <v>2445.88</v>
      </c>
      <c r="I34" s="52">
        <v>2935.06</v>
      </c>
      <c r="J34" s="50">
        <v>3601.49</v>
      </c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  <c r="IV34" s="89"/>
    </row>
  </sheetData>
  <printOptions horizontalCentered="1" verticalCentered="1"/>
  <pageMargins left="0.39374999999999999" right="0.39374999999999999" top="0.78749999999999998" bottom="0.196527777777778" header="0.31527777777777799" footer="0.51180555555555496"/>
  <pageSetup paperSize="0" scale="0" firstPageNumber="0" orientation="portrait" usePrinterDefaults="0" horizontalDpi="0" verticalDpi="0" copies="0"/>
  <headerFooter>
    <oddHeader>&amp;C&amp;"Comic Sans MS,Fett"&amp;12Tabelle stipendiali dal 01.07.2001 al 30.06.2002 / Gehaltstabellen von 01.07.2001 bis 30.06.2002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zoomScaleNormal="100" workbookViewId="0">
      <selection activeCell="J9" sqref="J9"/>
    </sheetView>
  </sheetViews>
  <sheetFormatPr baseColWidth="10" defaultColWidth="9.140625" defaultRowHeight="12.75" x14ac:dyDescent="0.2"/>
  <cols>
    <col min="1" max="1" width="24.85546875"/>
    <col min="2" max="3" width="11.5703125"/>
    <col min="4" max="4" width="12.140625"/>
    <col min="5" max="10" width="11.5703125"/>
    <col min="11" max="256" width="11.28515625"/>
    <col min="257" max="1025" width="11.5703125"/>
  </cols>
  <sheetData>
    <row r="1" spans="1:256" ht="15.75" x14ac:dyDescent="0.25">
      <c r="A1" s="77"/>
      <c r="B1" s="9" t="s">
        <v>44</v>
      </c>
      <c r="C1" s="40" t="s">
        <v>45</v>
      </c>
      <c r="D1" s="9" t="s">
        <v>46</v>
      </c>
      <c r="E1" s="40" t="s">
        <v>47</v>
      </c>
      <c r="F1" s="9" t="s">
        <v>48</v>
      </c>
      <c r="G1" s="40" t="s">
        <v>49</v>
      </c>
      <c r="H1" s="9" t="s">
        <v>50</v>
      </c>
      <c r="I1" s="40" t="s">
        <v>51</v>
      </c>
      <c r="J1" s="9" t="s">
        <v>52</v>
      </c>
      <c r="K1" s="104"/>
      <c r="L1" s="79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</row>
    <row r="2" spans="1:256" ht="15" x14ac:dyDescent="0.2">
      <c r="A2" s="81" t="s">
        <v>10</v>
      </c>
      <c r="B2" s="81"/>
      <c r="C2" s="69"/>
      <c r="D2" s="81"/>
      <c r="E2" s="69"/>
      <c r="F2" s="81"/>
      <c r="G2" s="69"/>
      <c r="H2" s="81"/>
      <c r="I2" s="69"/>
      <c r="J2" s="81"/>
      <c r="K2" s="105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</row>
    <row r="3" spans="1:256" ht="15.75" x14ac:dyDescent="0.25">
      <c r="A3" s="100" t="s">
        <v>11</v>
      </c>
      <c r="B3" s="47">
        <v>515.55999999999995</v>
      </c>
      <c r="C3" s="49">
        <v>621.72</v>
      </c>
      <c r="D3" s="47">
        <v>675.55</v>
      </c>
      <c r="E3" s="49">
        <v>729.39</v>
      </c>
      <c r="F3" s="47">
        <v>820.95</v>
      </c>
      <c r="G3" s="49">
        <v>916.15</v>
      </c>
      <c r="H3" s="47">
        <v>1086.48</v>
      </c>
      <c r="I3" s="49">
        <v>1327.08</v>
      </c>
      <c r="J3" s="47">
        <v>1585.62</v>
      </c>
      <c r="K3" s="106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</row>
    <row r="4" spans="1:256" ht="15" x14ac:dyDescent="0.2">
      <c r="A4" s="101" t="s">
        <v>53</v>
      </c>
      <c r="B4" s="50">
        <v>546.5</v>
      </c>
      <c r="C4" s="52">
        <f>C$3+C$3*6/100</f>
        <v>659.02320000000009</v>
      </c>
      <c r="D4" s="50">
        <v>716.09</v>
      </c>
      <c r="E4" s="52">
        <v>773.16</v>
      </c>
      <c r="F4" s="50">
        <v>870.2</v>
      </c>
      <c r="G4" s="52">
        <f>G$3+G$3*6/100</f>
        <v>971.11899999999991</v>
      </c>
      <c r="H4" s="50">
        <f>H$3+H$3*6/100</f>
        <v>1151.6687999999999</v>
      </c>
      <c r="I4" s="52">
        <f>I$3+I$3*6/100</f>
        <v>1406.7048</v>
      </c>
      <c r="J4" s="50">
        <f>J$3+J$3*6/100</f>
        <v>1680.7571999999998</v>
      </c>
      <c r="K4" s="107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</row>
    <row r="5" spans="1:256" ht="15" x14ac:dyDescent="0.2">
      <c r="A5" s="101" t="s">
        <v>54</v>
      </c>
      <c r="B5" s="50">
        <f>B$3+B$3*6/100*2</f>
        <v>577.42719999999997</v>
      </c>
      <c r="C5" s="52">
        <v>696.32</v>
      </c>
      <c r="D5" s="50">
        <v>756.62</v>
      </c>
      <c r="E5" s="52">
        <f>E$3+E$3*6/100*2</f>
        <v>816.91679999999997</v>
      </c>
      <c r="F5" s="50">
        <v>919.46</v>
      </c>
      <c r="G5" s="52">
        <f>G$3+G$3*6/100*2</f>
        <v>1026.088</v>
      </c>
      <c r="H5" s="50">
        <f>H$3+H$3*6/100*2</f>
        <v>1216.8576</v>
      </c>
      <c r="I5" s="52">
        <f>I$3+I$3*6/100*2</f>
        <v>1486.3296</v>
      </c>
      <c r="J5" s="50">
        <v>1775.9</v>
      </c>
      <c r="K5" s="108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</row>
    <row r="6" spans="1:256" ht="15" x14ac:dyDescent="0.2">
      <c r="A6" s="101" t="s">
        <v>55</v>
      </c>
      <c r="B6" s="50">
        <f>B$3+B$3*6/100*3</f>
        <v>608.36079999999993</v>
      </c>
      <c r="C6" s="52">
        <f>C$3+C$3*6/100*3</f>
        <v>733.62959999999998</v>
      </c>
      <c r="D6" s="50">
        <v>797.15</v>
      </c>
      <c r="E6" s="52">
        <f>E$3+E$3*6/100*3</f>
        <v>860.68020000000001</v>
      </c>
      <c r="F6" s="50">
        <v>968.72</v>
      </c>
      <c r="G6" s="52">
        <f>G$3+G$3*6/100*3</f>
        <v>1081.057</v>
      </c>
      <c r="H6" s="50">
        <f>H$3+H$3*6/100*3</f>
        <v>1282.0463999999999</v>
      </c>
      <c r="I6" s="52">
        <f>I$3+I$3*6/100*3</f>
        <v>1565.9543999999999</v>
      </c>
      <c r="J6" s="50">
        <f>J$3+J$3*6/100*3</f>
        <v>1871.0315999999998</v>
      </c>
      <c r="K6" s="108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</row>
    <row r="7" spans="1:256" ht="15" x14ac:dyDescent="0.2">
      <c r="A7" s="89"/>
      <c r="B7" s="89"/>
      <c r="C7" s="102"/>
      <c r="D7" s="89"/>
      <c r="E7" s="102"/>
      <c r="F7" s="89"/>
      <c r="G7" s="102"/>
      <c r="H7" s="89"/>
      <c r="I7" s="102"/>
      <c r="J7" s="89"/>
      <c r="K7" s="108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</row>
    <row r="8" spans="1:256" ht="15" x14ac:dyDescent="0.2">
      <c r="A8" s="83" t="s">
        <v>56</v>
      </c>
      <c r="B8" s="83"/>
      <c r="C8" s="103"/>
      <c r="D8" s="83"/>
      <c r="E8" s="103"/>
      <c r="F8" s="83"/>
      <c r="G8" s="103"/>
      <c r="H8" s="83"/>
      <c r="I8" s="103"/>
      <c r="J8" s="83"/>
      <c r="K8" s="105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  <c r="IV8" s="83"/>
    </row>
    <row r="9" spans="1:256" ht="15.75" x14ac:dyDescent="0.25">
      <c r="A9" s="100" t="s">
        <v>11</v>
      </c>
      <c r="B9" s="47">
        <v>646.35</v>
      </c>
      <c r="C9" s="49">
        <v>796</v>
      </c>
      <c r="D9" s="47">
        <v>871.44</v>
      </c>
      <c r="E9" s="49">
        <v>946.57</v>
      </c>
      <c r="F9" s="47">
        <v>1065.19</v>
      </c>
      <c r="G9" s="49">
        <v>1210.8900000000001</v>
      </c>
      <c r="H9" s="47">
        <v>1435.67</v>
      </c>
      <c r="I9" s="49">
        <v>1722.5</v>
      </c>
      <c r="J9" s="47">
        <v>2113.65</v>
      </c>
      <c r="K9" s="106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</row>
    <row r="10" spans="1:256" ht="15" x14ac:dyDescent="0.2">
      <c r="A10" s="101" t="s">
        <v>57</v>
      </c>
      <c r="B10" s="50">
        <f>B$9+B$9*3/100*1</f>
        <v>665.7405</v>
      </c>
      <c r="C10" s="52">
        <f>C$9+C$9*3/100*1</f>
        <v>819.88</v>
      </c>
      <c r="D10" s="50">
        <f>D$9+D$9*3/100*1</f>
        <v>897.58320000000003</v>
      </c>
      <c r="E10" s="52">
        <v>974.96</v>
      </c>
      <c r="F10" s="50">
        <f>F$9+F$9*3/100*1</f>
        <v>1097.1457</v>
      </c>
      <c r="G10" s="52">
        <v>1247.21</v>
      </c>
      <c r="H10" s="50">
        <f>H$9+H$9*3/100*1</f>
        <v>1478.7401</v>
      </c>
      <c r="I10" s="52">
        <v>1774.17</v>
      </c>
      <c r="J10" s="50">
        <f>J$9+J$9*3/100*1</f>
        <v>2177.0595000000003</v>
      </c>
      <c r="K10" s="108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</row>
    <row r="11" spans="1:256" ht="15" x14ac:dyDescent="0.2">
      <c r="A11" s="101" t="s">
        <v>58</v>
      </c>
      <c r="B11" s="50">
        <v>685.14</v>
      </c>
      <c r="C11" s="52">
        <f>C$9+C$9*3/100*2</f>
        <v>843.76</v>
      </c>
      <c r="D11" s="50">
        <v>923.72</v>
      </c>
      <c r="E11" s="52">
        <f t="shared" ref="E11:J11" si="0">E$9+E$9*3/100*2</f>
        <v>1003.3642000000001</v>
      </c>
      <c r="F11" s="50">
        <f t="shared" si="0"/>
        <v>1129.1014</v>
      </c>
      <c r="G11" s="52">
        <f t="shared" si="0"/>
        <v>1283.5434</v>
      </c>
      <c r="H11" s="50">
        <f t="shared" si="0"/>
        <v>1521.8102000000001</v>
      </c>
      <c r="I11" s="52">
        <f t="shared" si="0"/>
        <v>1825.85</v>
      </c>
      <c r="J11" s="50">
        <f t="shared" si="0"/>
        <v>2240.4690000000001</v>
      </c>
      <c r="K11" s="108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  <c r="IV11" s="89"/>
    </row>
    <row r="12" spans="1:256" ht="15" x14ac:dyDescent="0.2">
      <c r="A12" s="101" t="s">
        <v>59</v>
      </c>
      <c r="B12" s="50">
        <v>704.53</v>
      </c>
      <c r="C12" s="52">
        <f t="shared" ref="C12:H12" si="1">C$9+C$9*3/100*3</f>
        <v>867.64</v>
      </c>
      <c r="D12" s="50">
        <f t="shared" si="1"/>
        <v>949.86959999999999</v>
      </c>
      <c r="E12" s="52">
        <f t="shared" si="1"/>
        <v>1031.7613000000001</v>
      </c>
      <c r="F12" s="50">
        <f t="shared" si="1"/>
        <v>1161.0571</v>
      </c>
      <c r="G12" s="52">
        <f t="shared" si="1"/>
        <v>1319.8701000000001</v>
      </c>
      <c r="H12" s="50">
        <f t="shared" si="1"/>
        <v>1564.8803</v>
      </c>
      <c r="I12" s="52">
        <v>1877.52</v>
      </c>
      <c r="J12" s="50">
        <f>J$9+J$9*3/100*3</f>
        <v>2303.8785000000003</v>
      </c>
      <c r="K12" s="108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  <c r="IV12" s="89"/>
    </row>
    <row r="13" spans="1:256" ht="15" x14ac:dyDescent="0.2">
      <c r="A13" s="101" t="s">
        <v>60</v>
      </c>
      <c r="B13" s="50">
        <v>723.92</v>
      </c>
      <c r="C13" s="52">
        <f>C$9+C$9*3/100*4</f>
        <v>891.52</v>
      </c>
      <c r="D13" s="50">
        <f>D$9+D$9*3/100*4</f>
        <v>976.01280000000008</v>
      </c>
      <c r="E13" s="52">
        <v>1060.1500000000001</v>
      </c>
      <c r="F13" s="50">
        <f>F$9+F$9*3/100*4</f>
        <v>1193.0128</v>
      </c>
      <c r="G13" s="52">
        <v>1356.19</v>
      </c>
      <c r="H13" s="50">
        <f>H$9+H$9*3/100*4</f>
        <v>1607.9504000000002</v>
      </c>
      <c r="I13" s="52">
        <f>I$9+I$9*3/100*4</f>
        <v>1929.2</v>
      </c>
      <c r="J13" s="50">
        <f>J$9+J$9*3/100*4</f>
        <v>2367.288</v>
      </c>
      <c r="K13" s="108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  <c r="IV13" s="89"/>
    </row>
    <row r="14" spans="1:256" ht="15" x14ac:dyDescent="0.2">
      <c r="A14" s="101" t="s">
        <v>61</v>
      </c>
      <c r="B14" s="50">
        <v>743.31</v>
      </c>
      <c r="C14" s="52">
        <f>C$9+C$9*3/100*5</f>
        <v>915.4</v>
      </c>
      <c r="D14" s="50">
        <v>1002.15</v>
      </c>
      <c r="E14" s="52">
        <v>1088.55</v>
      </c>
      <c r="F14" s="50">
        <f>F$9+F$9*3/100*5</f>
        <v>1224.9684999999999</v>
      </c>
      <c r="G14" s="52">
        <f>G$9+G$9*3/100*5</f>
        <v>1392.5235000000002</v>
      </c>
      <c r="H14" s="50">
        <f>H$9+H$9*3/100*5</f>
        <v>1651.0205000000001</v>
      </c>
      <c r="I14" s="52">
        <v>1980.87</v>
      </c>
      <c r="J14" s="50">
        <f>J$9+J$9*3/100*5</f>
        <v>2430.6975000000002</v>
      </c>
      <c r="K14" s="108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  <c r="IV14" s="89"/>
    </row>
    <row r="15" spans="1:256" ht="15" x14ac:dyDescent="0.2">
      <c r="A15" s="101" t="s">
        <v>62</v>
      </c>
      <c r="B15" s="50">
        <v>762.7</v>
      </c>
      <c r="C15" s="52">
        <f>C$9+C$9*3/100*6</f>
        <v>939.28</v>
      </c>
      <c r="D15" s="50">
        <f>D$9+D$9*3/100*6</f>
        <v>1028.2991999999999</v>
      </c>
      <c r="E15" s="52">
        <f>E$9+E$9*3/100*6</f>
        <v>1116.9526000000001</v>
      </c>
      <c r="F15" s="50">
        <v>1256.93</v>
      </c>
      <c r="G15" s="52">
        <f>G$9+G$9*3/100*6</f>
        <v>1428.8502000000001</v>
      </c>
      <c r="H15" s="50">
        <f>H$9+H$9*3/100*6</f>
        <v>1694.0906</v>
      </c>
      <c r="I15" s="52">
        <f>I$9+I$9*3/100*6</f>
        <v>2032.55</v>
      </c>
      <c r="J15" s="50">
        <f>J$9+J$9*3/100*6</f>
        <v>2494.107</v>
      </c>
      <c r="K15" s="108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</row>
    <row r="16" spans="1:256" ht="15" x14ac:dyDescent="0.2">
      <c r="A16" s="101" t="s">
        <v>63</v>
      </c>
      <c r="B16" s="50">
        <v>782.09</v>
      </c>
      <c r="C16" s="52">
        <v>963.17</v>
      </c>
      <c r="D16" s="50">
        <f>D$9+D$9*3/100*7</f>
        <v>1054.4424000000001</v>
      </c>
      <c r="E16" s="52">
        <f>E$9+E$9*3/100*7</f>
        <v>1145.3497</v>
      </c>
      <c r="F16" s="50">
        <f>F$9+F$9*3/100*7</f>
        <v>1288.8799000000001</v>
      </c>
      <c r="G16" s="52">
        <v>1465.17</v>
      </c>
      <c r="H16" s="50">
        <f>H$9+H$9*3/100*7</f>
        <v>1737.1607000000001</v>
      </c>
      <c r="I16" s="52">
        <v>2084.2199999999998</v>
      </c>
      <c r="J16" s="50">
        <f>J$9+J$9*3/100*7</f>
        <v>2557.5165000000002</v>
      </c>
      <c r="K16" s="108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89"/>
      <c r="IV16" s="89"/>
    </row>
    <row r="17" spans="1:256" ht="15" x14ac:dyDescent="0.2">
      <c r="A17" s="101" t="s">
        <v>64</v>
      </c>
      <c r="B17" s="50">
        <v>801.48</v>
      </c>
      <c r="C17" s="52">
        <v>987.05</v>
      </c>
      <c r="D17" s="50">
        <v>1080.58</v>
      </c>
      <c r="E17" s="52">
        <v>1173.74</v>
      </c>
      <c r="F17" s="50">
        <f>F$9+F$9*3/100*8</f>
        <v>1320.8356000000001</v>
      </c>
      <c r="G17" s="52">
        <f>G$9+G$9*3/100*8</f>
        <v>1501.5036</v>
      </c>
      <c r="H17" s="50">
        <f>H$9+H$9*3/100*8</f>
        <v>1780.2308</v>
      </c>
      <c r="I17" s="52">
        <v>2135.89</v>
      </c>
      <c r="J17" s="50">
        <f>J$9+J$9*3/100*8</f>
        <v>2620.9260000000004</v>
      </c>
      <c r="K17" s="108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</row>
    <row r="18" spans="1:256" ht="15" x14ac:dyDescent="0.2">
      <c r="A18" s="101" t="s">
        <v>65</v>
      </c>
      <c r="B18" s="50">
        <v>820.87</v>
      </c>
      <c r="C18" s="52">
        <v>1010.93</v>
      </c>
      <c r="D18" s="50">
        <f>D$9+D$9*3/100*9</f>
        <v>1106.7288000000001</v>
      </c>
      <c r="E18" s="52">
        <f>E$9+E$9*3/100*9</f>
        <v>1202.1439</v>
      </c>
      <c r="F18" s="50">
        <f>F$9+F$9*3/100*9</f>
        <v>1352.7913000000001</v>
      </c>
      <c r="G18" s="52">
        <f>G$9+G$9*3/100*9</f>
        <v>1537.8303000000001</v>
      </c>
      <c r="H18" s="50">
        <f>H$9+H$9*3/100*9</f>
        <v>1823.3009000000002</v>
      </c>
      <c r="I18" s="52">
        <v>2187.5700000000002</v>
      </c>
      <c r="J18" s="50">
        <f>J$9+J$9*3/100*9</f>
        <v>2684.3355000000001</v>
      </c>
      <c r="K18" s="108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  <c r="IV18" s="89"/>
    </row>
    <row r="19" spans="1:256" ht="15" x14ac:dyDescent="0.2">
      <c r="A19" s="101" t="s">
        <v>66</v>
      </c>
      <c r="B19" s="50">
        <f>B$9+B$9*3/100*10</f>
        <v>840.25500000000011</v>
      </c>
      <c r="C19" s="52">
        <v>1034.81</v>
      </c>
      <c r="D19" s="50">
        <f>D$9+D$9*3/100*10</f>
        <v>1132.8720000000001</v>
      </c>
      <c r="E19" s="52">
        <f>E$9+E$9*3/100*10</f>
        <v>1230.5410000000002</v>
      </c>
      <c r="F19" s="50">
        <f>F$9+F$9*3/100*10</f>
        <v>1384.7470000000001</v>
      </c>
      <c r="G19" s="52">
        <v>1574.15</v>
      </c>
      <c r="H19" s="50">
        <f>H$9+H$9*3/100*10</f>
        <v>1866.3710000000001</v>
      </c>
      <c r="I19" s="52">
        <v>2239.2399999999998</v>
      </c>
      <c r="J19" s="50">
        <f>J$9+J$9*3/100*10</f>
        <v>2747.7449999999999</v>
      </c>
      <c r="K19" s="108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  <c r="IV19" s="89"/>
    </row>
    <row r="20" spans="1:256" ht="15" x14ac:dyDescent="0.2">
      <c r="A20" s="101" t="s">
        <v>67</v>
      </c>
      <c r="B20" s="50">
        <f>B$9+B$9*3/100*11</f>
        <v>859.64550000000008</v>
      </c>
      <c r="C20" s="52">
        <v>1058.69</v>
      </c>
      <c r="D20" s="50">
        <v>1159.01</v>
      </c>
      <c r="E20" s="52">
        <v>1258.93</v>
      </c>
      <c r="F20" s="50">
        <f>F$9+F$9*3/100*11</f>
        <v>1416.7027</v>
      </c>
      <c r="G20" s="52">
        <f>G$9+G$9*3/100*11</f>
        <v>1610.4837000000002</v>
      </c>
      <c r="H20" s="50">
        <f>H$9+H$9*3/100*11</f>
        <v>1909.4411</v>
      </c>
      <c r="I20" s="52">
        <v>2290.92</v>
      </c>
      <c r="J20" s="50">
        <v>2811.16</v>
      </c>
      <c r="K20" s="108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  <c r="IV20" s="89"/>
    </row>
    <row r="21" spans="1:256" ht="15" x14ac:dyDescent="0.2">
      <c r="A21" s="101" t="s">
        <v>68</v>
      </c>
      <c r="B21" s="50">
        <f>B$9+B$9*3/100*12</f>
        <v>879.03600000000006</v>
      </c>
      <c r="C21" s="52">
        <v>1082.57</v>
      </c>
      <c r="D21" s="50">
        <f>D$9+D$9*3/100*12</f>
        <v>1185.1584</v>
      </c>
      <c r="E21" s="52">
        <v>1287.33</v>
      </c>
      <c r="F21" s="50">
        <f>F$9+F$9*3/100*12</f>
        <v>1448.6584</v>
      </c>
      <c r="G21" s="52">
        <f>G$9+G$9*3/100*12</f>
        <v>1646.8104000000001</v>
      </c>
      <c r="H21" s="50">
        <f>H$9+H$9*3/100*12</f>
        <v>1952.5112000000001</v>
      </c>
      <c r="I21" s="52">
        <v>2342.59</v>
      </c>
      <c r="J21" s="50">
        <v>2874.57</v>
      </c>
      <c r="K21" s="108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  <c r="IV21" s="89"/>
    </row>
    <row r="22" spans="1:256" ht="15" x14ac:dyDescent="0.2">
      <c r="A22" s="101" t="s">
        <v>69</v>
      </c>
      <c r="B22" s="50">
        <f>B$9+B$9*3/100*13</f>
        <v>898.42650000000003</v>
      </c>
      <c r="C22" s="52">
        <v>1106.45</v>
      </c>
      <c r="D22" s="50">
        <f>D$9+D$9*3/100*13</f>
        <v>1211.3016</v>
      </c>
      <c r="E22" s="52">
        <f>E$9+E$9*3/100*13</f>
        <v>1315.7323000000001</v>
      </c>
      <c r="F22" s="50">
        <v>1480.62</v>
      </c>
      <c r="G22" s="52">
        <v>1683.13</v>
      </c>
      <c r="H22" s="50">
        <f>H$9+H$9*3/100*13</f>
        <v>1995.5813000000003</v>
      </c>
      <c r="I22" s="52">
        <v>2394.27</v>
      </c>
      <c r="J22" s="50">
        <v>2937.98</v>
      </c>
      <c r="K22" s="108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  <c r="IV22" s="89"/>
    </row>
    <row r="23" spans="1:256" ht="15" x14ac:dyDescent="0.2">
      <c r="A23" s="101" t="s">
        <v>70</v>
      </c>
      <c r="B23" s="50">
        <f>B$9+B$9*3/100*14</f>
        <v>917.81700000000001</v>
      </c>
      <c r="C23" s="52">
        <v>1130.33</v>
      </c>
      <c r="D23" s="50">
        <f>D$9+D$9*3/100*14</f>
        <v>1237.4448</v>
      </c>
      <c r="E23" s="52">
        <v>1344.12</v>
      </c>
      <c r="F23" s="50">
        <f>F$9+F$9*3/100*14</f>
        <v>1512.5698</v>
      </c>
      <c r="G23" s="52">
        <f>G$9+G$9*3/100*14</f>
        <v>1719.4638</v>
      </c>
      <c r="H23" s="50">
        <f>H$9+H$9*3/100*14</f>
        <v>2038.6514000000002</v>
      </c>
      <c r="I23" s="52">
        <v>2445.94</v>
      </c>
      <c r="J23" s="50">
        <v>3001.39</v>
      </c>
      <c r="K23" s="108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  <c r="IR23" s="89"/>
      <c r="IS23" s="89"/>
      <c r="IT23" s="89"/>
      <c r="IU23" s="89"/>
      <c r="IV23" s="89"/>
    </row>
    <row r="24" spans="1:256" ht="15" x14ac:dyDescent="0.2">
      <c r="A24" s="101" t="s">
        <v>71</v>
      </c>
      <c r="B24" s="50">
        <f>B$9+B$9*3/100*15</f>
        <v>937.2075000000001</v>
      </c>
      <c r="C24" s="52">
        <v>1154.21</v>
      </c>
      <c r="D24" s="50">
        <v>1263.58</v>
      </c>
      <c r="E24" s="52">
        <v>1372.52</v>
      </c>
      <c r="F24" s="50">
        <f>F$9+F$9*3/100*15</f>
        <v>1544.5255000000002</v>
      </c>
      <c r="G24" s="52">
        <f>G$9+G$9*3/100*15</f>
        <v>1755.7905000000001</v>
      </c>
      <c r="H24" s="50">
        <f>H$9+H$9*3/100*15</f>
        <v>2081.7215000000001</v>
      </c>
      <c r="I24" s="52">
        <v>2497.62</v>
      </c>
      <c r="J24" s="50">
        <v>3064.8</v>
      </c>
      <c r="K24" s="108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  <c r="IR24" s="89"/>
      <c r="IS24" s="89"/>
      <c r="IT24" s="89"/>
      <c r="IU24" s="89"/>
      <c r="IV24" s="89"/>
    </row>
    <row r="25" spans="1:256" ht="15" x14ac:dyDescent="0.2">
      <c r="A25" s="101" t="s">
        <v>72</v>
      </c>
      <c r="B25" s="50">
        <f>B$9+B$9*3/100*16</f>
        <v>956.59800000000007</v>
      </c>
      <c r="C25" s="52">
        <v>1178.0899999999999</v>
      </c>
      <c r="D25" s="50">
        <f>D$9+D$9*3/100*16</f>
        <v>1289.7312000000002</v>
      </c>
      <c r="E25" s="52">
        <f>E$9+E$9*3/100*16</f>
        <v>1400.9236000000001</v>
      </c>
      <c r="F25" s="50">
        <f>F$9+F$9*3/100*16</f>
        <v>1576.4812000000002</v>
      </c>
      <c r="G25" s="52">
        <v>1792.11</v>
      </c>
      <c r="H25" s="50">
        <f>H$9+H$9*3/100*16</f>
        <v>2124.7916</v>
      </c>
      <c r="I25" s="52">
        <v>2549.29</v>
      </c>
      <c r="J25" s="50">
        <v>3128.21</v>
      </c>
      <c r="K25" s="108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  <c r="IR25" s="89"/>
      <c r="IS25" s="89"/>
      <c r="IT25" s="89"/>
      <c r="IU25" s="89"/>
      <c r="IV25" s="89"/>
    </row>
    <row r="26" spans="1:256" ht="15" x14ac:dyDescent="0.2">
      <c r="A26" s="101" t="s">
        <v>73</v>
      </c>
      <c r="B26" s="50">
        <f>B$9+B$9*3/100*17</f>
        <v>975.98850000000004</v>
      </c>
      <c r="C26" s="52">
        <v>1201.97</v>
      </c>
      <c r="D26" s="50">
        <f>D$9+D$9*3/100*17</f>
        <v>1315.8744000000002</v>
      </c>
      <c r="E26" s="52">
        <f>E$9+E$9*3/100*17</f>
        <v>1429.3207000000002</v>
      </c>
      <c r="F26" s="50">
        <f>F$9+F$9*3/100*17</f>
        <v>1608.4369000000002</v>
      </c>
      <c r="G26" s="52">
        <f>G$9+G$9*3/100*17</f>
        <v>1828.4439000000002</v>
      </c>
      <c r="H26" s="50">
        <f>H$9+H$9*3/100*17</f>
        <v>2167.8617000000004</v>
      </c>
      <c r="I26" s="52">
        <v>2600.9699999999998</v>
      </c>
      <c r="J26" s="50">
        <v>3191.62</v>
      </c>
      <c r="K26" s="108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  <c r="IR26" s="89"/>
      <c r="IS26" s="89"/>
      <c r="IT26" s="89"/>
      <c r="IU26" s="89"/>
      <c r="IV26" s="89"/>
    </row>
    <row r="27" spans="1:256" ht="15" x14ac:dyDescent="0.2">
      <c r="A27" s="101" t="s">
        <v>74</v>
      </c>
      <c r="B27" s="50">
        <v>995.39</v>
      </c>
      <c r="C27" s="52">
        <v>1225.8499999999999</v>
      </c>
      <c r="D27" s="50">
        <v>1342.01</v>
      </c>
      <c r="E27" s="52">
        <v>1457.71</v>
      </c>
      <c r="F27" s="50">
        <v>1640.4</v>
      </c>
      <c r="G27" s="52">
        <f>G$9+G$9*3/100*18</f>
        <v>1864.7706000000003</v>
      </c>
      <c r="H27" s="50">
        <f>H$9+H$9*3/100*18</f>
        <v>2210.9318000000003</v>
      </c>
      <c r="I27" s="52">
        <v>2652.64</v>
      </c>
      <c r="J27" s="50">
        <v>3255.03</v>
      </c>
      <c r="K27" s="108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  <c r="IR27" s="89"/>
      <c r="IS27" s="89"/>
      <c r="IT27" s="89"/>
      <c r="IU27" s="89"/>
      <c r="IV27" s="89"/>
    </row>
    <row r="28" spans="1:256" ht="15" x14ac:dyDescent="0.2">
      <c r="A28" s="101" t="s">
        <v>75</v>
      </c>
      <c r="B28" s="50">
        <v>1014.78</v>
      </c>
      <c r="C28" s="52">
        <v>1249.73</v>
      </c>
      <c r="D28" s="50">
        <f>D$9+D$9*3/100*19</f>
        <v>1368.1608000000001</v>
      </c>
      <c r="E28" s="52">
        <f>E$9+E$9*3/100*19</f>
        <v>1486.1149</v>
      </c>
      <c r="F28" s="50">
        <f>F$9+F$9*3/100*19</f>
        <v>1672.3483000000001</v>
      </c>
      <c r="G28" s="52">
        <v>1901.09</v>
      </c>
      <c r="H28" s="50">
        <f>H$9+H$9*3/100*19</f>
        <v>2254.0019000000002</v>
      </c>
      <c r="I28" s="52">
        <v>2704.32</v>
      </c>
      <c r="J28" s="50">
        <v>3318.44</v>
      </c>
      <c r="K28" s="108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89"/>
      <c r="IQ28" s="89"/>
      <c r="IR28" s="89"/>
      <c r="IS28" s="89"/>
      <c r="IT28" s="89"/>
      <c r="IU28" s="89"/>
      <c r="IV28" s="89"/>
    </row>
    <row r="29" spans="1:256" ht="15" x14ac:dyDescent="0.2">
      <c r="A29" s="101" t="s">
        <v>76</v>
      </c>
      <c r="B29" s="50">
        <v>1034.17</v>
      </c>
      <c r="C29" s="52">
        <v>1273.6099999999999</v>
      </c>
      <c r="D29" s="50">
        <f>D$9+D$9*3/100*20</f>
        <v>1394.3040000000001</v>
      </c>
      <c r="E29" s="52">
        <f>E$9+E$9*3/100*20</f>
        <v>1514.5120000000002</v>
      </c>
      <c r="F29" s="50">
        <v>1704.31</v>
      </c>
      <c r="G29" s="52">
        <f>G$9+G$9*3/100*20</f>
        <v>1937.4240000000002</v>
      </c>
      <c r="H29" s="50">
        <f>H$9+H$9*3/100*20</f>
        <v>2297.0720000000001</v>
      </c>
      <c r="I29" s="52">
        <v>2755.99</v>
      </c>
      <c r="J29" s="50">
        <v>3381.85</v>
      </c>
      <c r="K29" s="108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89"/>
      <c r="IT29" s="89"/>
      <c r="IU29" s="89"/>
      <c r="IV29" s="89"/>
    </row>
    <row r="30" spans="1:256" ht="15" x14ac:dyDescent="0.2">
      <c r="A30" s="101" t="s">
        <v>77</v>
      </c>
      <c r="B30" s="50">
        <v>1053.56</v>
      </c>
      <c r="C30" s="52">
        <v>1297.49</v>
      </c>
      <c r="D30" s="50">
        <v>1420.44</v>
      </c>
      <c r="E30" s="52">
        <v>1542.9</v>
      </c>
      <c r="F30" s="50">
        <f>F$9+F$9*3/100*21</f>
        <v>1736.2597000000001</v>
      </c>
      <c r="G30" s="52">
        <f>G$9+G$9*3/100*21</f>
        <v>1973.7507000000001</v>
      </c>
      <c r="H30" s="50">
        <f>H$9+H$9*3/100*21</f>
        <v>2340.1421</v>
      </c>
      <c r="I30" s="52">
        <v>2807.67</v>
      </c>
      <c r="J30" s="50">
        <v>3445.26</v>
      </c>
      <c r="K30" s="108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89"/>
      <c r="IS30" s="89"/>
      <c r="IT30" s="89"/>
      <c r="IU30" s="89"/>
      <c r="IV30" s="89"/>
    </row>
    <row r="31" spans="1:256" ht="15" x14ac:dyDescent="0.2">
      <c r="A31" s="101" t="s">
        <v>78</v>
      </c>
      <c r="B31" s="50">
        <v>1072.95</v>
      </c>
      <c r="C31" s="52">
        <v>1321.37</v>
      </c>
      <c r="D31" s="50">
        <f>D$9+D$9*3/100*22</f>
        <v>1446.5904</v>
      </c>
      <c r="E31" s="52">
        <v>1571.3</v>
      </c>
      <c r="F31" s="50">
        <f>F$9+F$9*3/100*22</f>
        <v>1768.2154</v>
      </c>
      <c r="G31" s="52">
        <v>2010.07</v>
      </c>
      <c r="H31" s="50">
        <f>H$9+H$9*3/100*22</f>
        <v>2383.2121999999999</v>
      </c>
      <c r="I31" s="52">
        <v>2859.34</v>
      </c>
      <c r="J31" s="50">
        <v>3508.67</v>
      </c>
      <c r="K31" s="108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  <c r="IT31" s="89"/>
      <c r="IU31" s="89"/>
      <c r="IV31" s="89"/>
    </row>
    <row r="32" spans="1:256" ht="15" x14ac:dyDescent="0.2">
      <c r="A32" s="101" t="s">
        <v>79</v>
      </c>
      <c r="B32" s="50">
        <v>1092.3399999999999</v>
      </c>
      <c r="C32" s="52">
        <v>1345.25</v>
      </c>
      <c r="D32" s="50">
        <f>D$9+D$9*3/100*23</f>
        <v>1472.7336</v>
      </c>
      <c r="E32" s="52">
        <f>E$9+E$9*3/100*23</f>
        <v>1599.7033000000001</v>
      </c>
      <c r="F32" s="50">
        <f>F$9+F$9*3/100*23</f>
        <v>1800.1711</v>
      </c>
      <c r="G32" s="52">
        <f>G$9+G$9*3/100*23</f>
        <v>2046.4041000000002</v>
      </c>
      <c r="H32" s="50">
        <f>H$9+H$9*3/100*23</f>
        <v>2426.2823000000003</v>
      </c>
      <c r="I32" s="52">
        <v>2911.02</v>
      </c>
      <c r="J32" s="50">
        <v>3572.08</v>
      </c>
      <c r="K32" s="108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  <c r="IV32" s="89"/>
    </row>
    <row r="33" spans="1:256" ht="15" x14ac:dyDescent="0.2">
      <c r="A33" s="101" t="s">
        <v>80</v>
      </c>
      <c r="B33" s="50">
        <v>1111.73</v>
      </c>
      <c r="C33" s="52">
        <v>1369.13</v>
      </c>
      <c r="D33" s="50">
        <v>1498.87</v>
      </c>
      <c r="E33" s="52">
        <v>1628.09</v>
      </c>
      <c r="F33" s="50">
        <f>F$9+F$9*3/100*24</f>
        <v>1832.1268</v>
      </c>
      <c r="G33" s="52">
        <f>G$9+G$9*3/100*24</f>
        <v>2082.7308000000003</v>
      </c>
      <c r="H33" s="50">
        <f>H$9+H$9*3/100*24</f>
        <v>2469.3524000000002</v>
      </c>
      <c r="I33" s="52">
        <v>2962.69</v>
      </c>
      <c r="J33" s="50">
        <v>3635.49</v>
      </c>
      <c r="K33" s="108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89"/>
      <c r="IQ33" s="89"/>
      <c r="IR33" s="89"/>
      <c r="IS33" s="89"/>
      <c r="IT33" s="89"/>
      <c r="IU33" s="89"/>
      <c r="IV33" s="89"/>
    </row>
    <row r="34" spans="1:256" ht="15" x14ac:dyDescent="0.2">
      <c r="A34" s="101" t="s">
        <v>81</v>
      </c>
      <c r="B34" s="50">
        <v>1131.1199999999999</v>
      </c>
      <c r="C34" s="52">
        <v>1393.01</v>
      </c>
      <c r="D34" s="50">
        <f>D$9+D$9*3/100*25</f>
        <v>1525.02</v>
      </c>
      <c r="E34" s="52">
        <v>1656.49</v>
      </c>
      <c r="F34" s="50">
        <v>1864.09</v>
      </c>
      <c r="G34" s="52">
        <v>2119.0500000000002</v>
      </c>
      <c r="H34" s="50">
        <f>H$9+H$9*3/100*25</f>
        <v>2512.4225000000001</v>
      </c>
      <c r="I34" s="52">
        <v>3014.37</v>
      </c>
      <c r="J34" s="50">
        <f>J$9+J$9*3/100*25</f>
        <v>3698.8875000000003</v>
      </c>
      <c r="K34" s="108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  <c r="IV34" s="89"/>
    </row>
  </sheetData>
  <printOptions horizontalCentered="1"/>
  <pageMargins left="0.39374999999999999" right="0.39374999999999999" top="0.74861111111111101" bottom="0.196527777777778" header="0.31527777777777799" footer="0.51180555555555496"/>
  <pageSetup paperSize="0" scale="0" firstPageNumber="0" orientation="portrait" usePrinterDefaults="0" horizontalDpi="0" verticalDpi="0" copies="0"/>
  <headerFooter>
    <oddHeader>&amp;C&amp;"Comic Sans MS,Fett"&amp;12Gehaltstabellen von 01.07.2002 bis 31.01.2003 / Tabelle stipendiali dal 01.07.2002 al 31.01.2003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B6" sqref="B6"/>
    </sheetView>
  </sheetViews>
  <sheetFormatPr baseColWidth="10" defaultColWidth="9.140625" defaultRowHeight="12.75" x14ac:dyDescent="0.2"/>
  <cols>
    <col min="1" max="1" width="23.42578125"/>
    <col min="2" max="256" width="11"/>
    <col min="257" max="1025" width="11.5703125"/>
  </cols>
  <sheetData>
    <row r="1" spans="1:10" ht="15.75" x14ac:dyDescent="0.25">
      <c r="A1" s="77"/>
      <c r="B1" s="9" t="s">
        <v>44</v>
      </c>
      <c r="C1" s="40" t="s">
        <v>45</v>
      </c>
      <c r="D1" s="9" t="s">
        <v>46</v>
      </c>
      <c r="E1" s="40" t="s">
        <v>47</v>
      </c>
      <c r="F1" s="9" t="s">
        <v>48</v>
      </c>
      <c r="G1" s="40" t="s">
        <v>49</v>
      </c>
      <c r="H1" s="9" t="s">
        <v>50</v>
      </c>
      <c r="I1" s="40" t="s">
        <v>51</v>
      </c>
      <c r="J1" s="9" t="s">
        <v>52</v>
      </c>
    </row>
    <row r="2" spans="1:10" ht="15" x14ac:dyDescent="0.2">
      <c r="A2" s="81" t="s">
        <v>10</v>
      </c>
      <c r="B2" s="81"/>
      <c r="C2" s="69"/>
      <c r="D2" s="81"/>
      <c r="E2" s="69"/>
      <c r="F2" s="81"/>
      <c r="G2" s="69"/>
      <c r="H2" s="81"/>
      <c r="I2" s="69"/>
      <c r="J2" s="81"/>
    </row>
    <row r="3" spans="1:10" ht="15.75" x14ac:dyDescent="0.25">
      <c r="A3" s="100" t="s">
        <v>11</v>
      </c>
      <c r="B3" s="47">
        <v>521.75</v>
      </c>
      <c r="C3" s="49">
        <v>629.17999999999995</v>
      </c>
      <c r="D3" s="47">
        <v>683.66</v>
      </c>
      <c r="E3" s="49">
        <v>738.14</v>
      </c>
      <c r="F3" s="47">
        <v>830.8</v>
      </c>
      <c r="G3" s="49">
        <v>927.14</v>
      </c>
      <c r="H3" s="47">
        <v>1099.52</v>
      </c>
      <c r="I3" s="49">
        <v>1343</v>
      </c>
      <c r="J3" s="47">
        <v>1604.65</v>
      </c>
    </row>
    <row r="4" spans="1:10" ht="15" x14ac:dyDescent="0.2">
      <c r="A4" s="101" t="s">
        <v>53</v>
      </c>
      <c r="B4" s="50">
        <v>553.04999999999995</v>
      </c>
      <c r="C4" s="52">
        <f>C$3+C$3*6/100</f>
        <v>666.93079999999998</v>
      </c>
      <c r="D4" s="50">
        <v>724.68</v>
      </c>
      <c r="E4" s="52">
        <v>782.43</v>
      </c>
      <c r="F4" s="50">
        <v>880.65</v>
      </c>
      <c r="G4" s="52">
        <f>G$3+G$3*6/100</f>
        <v>982.76839999999993</v>
      </c>
      <c r="H4" s="50">
        <f>H$3+H$3*6/100</f>
        <v>1165.4911999999999</v>
      </c>
      <c r="I4" s="52">
        <f>I$3+I$3*6/100</f>
        <v>1423.58</v>
      </c>
      <c r="J4" s="50">
        <f>J$3+J$3*6/100</f>
        <v>1700.9290000000001</v>
      </c>
    </row>
    <row r="5" spans="1:10" ht="15" x14ac:dyDescent="0.2">
      <c r="A5" s="101" t="s">
        <v>54</v>
      </c>
      <c r="B5" s="50">
        <v>584.36</v>
      </c>
      <c r="C5" s="52">
        <v>704.68</v>
      </c>
      <c r="D5" s="50">
        <v>765.7</v>
      </c>
      <c r="E5" s="52">
        <v>826.72</v>
      </c>
      <c r="F5" s="50">
        <v>930.49</v>
      </c>
      <c r="G5" s="52">
        <f>G$3+G$3*6/100*2</f>
        <v>1038.3968</v>
      </c>
      <c r="H5" s="50">
        <f>H$3+H$3*6/100*2</f>
        <v>1231.4623999999999</v>
      </c>
      <c r="I5" s="52">
        <f>I$3+I$3*6/100*2</f>
        <v>1504.16</v>
      </c>
      <c r="J5" s="50">
        <v>1797.21</v>
      </c>
    </row>
    <row r="6" spans="1:10" ht="15" x14ac:dyDescent="0.2">
      <c r="A6" s="101" t="s">
        <v>55</v>
      </c>
      <c r="B6" s="50">
        <v>615.66</v>
      </c>
      <c r="C6" s="52">
        <f>C$3+C$3*6/100*3</f>
        <v>742.43239999999992</v>
      </c>
      <c r="D6" s="50">
        <v>806.72</v>
      </c>
      <c r="E6" s="52">
        <f>E$3+E$3*6/100*3</f>
        <v>871.00520000000006</v>
      </c>
      <c r="F6" s="50">
        <v>980.34</v>
      </c>
      <c r="G6" s="52">
        <f>G$3+G$3*6/100*3</f>
        <v>1094.0252</v>
      </c>
      <c r="H6" s="50">
        <f>H$3+H$3*6/100*3</f>
        <v>1297.4335999999998</v>
      </c>
      <c r="I6" s="52">
        <f>I$3+I$3*6/100*3</f>
        <v>1584.74</v>
      </c>
      <c r="J6" s="50">
        <f>J$3+J$3*6/100*3</f>
        <v>1893.4870000000001</v>
      </c>
    </row>
    <row r="7" spans="1:10" ht="15" x14ac:dyDescent="0.2">
      <c r="A7" s="89"/>
      <c r="B7" s="89"/>
      <c r="C7" s="102"/>
      <c r="D7" s="89"/>
      <c r="E7" s="102"/>
      <c r="F7" s="89"/>
      <c r="G7" s="102"/>
      <c r="H7" s="89"/>
      <c r="I7" s="102"/>
      <c r="J7" s="89"/>
    </row>
    <row r="8" spans="1:10" ht="15" x14ac:dyDescent="0.2">
      <c r="A8" s="83" t="s">
        <v>56</v>
      </c>
      <c r="B8" s="83"/>
      <c r="C8" s="103"/>
      <c r="D8" s="83"/>
      <c r="E8" s="103"/>
      <c r="F8" s="83"/>
      <c r="G8" s="103"/>
      <c r="H8" s="83"/>
      <c r="I8" s="103"/>
      <c r="J8" s="83"/>
    </row>
    <row r="9" spans="1:10" ht="15.75" x14ac:dyDescent="0.25">
      <c r="A9" s="100" t="s">
        <v>11</v>
      </c>
      <c r="B9" s="47">
        <v>654.11</v>
      </c>
      <c r="C9" s="49">
        <v>805.56</v>
      </c>
      <c r="D9" s="47">
        <v>881.9</v>
      </c>
      <c r="E9" s="49">
        <v>957.93</v>
      </c>
      <c r="F9" s="47">
        <v>1077.97</v>
      </c>
      <c r="G9" s="49">
        <v>1225.42</v>
      </c>
      <c r="H9" s="47">
        <v>1452.9</v>
      </c>
      <c r="I9" s="49">
        <v>1743.17</v>
      </c>
      <c r="J9" s="47">
        <v>2139.02</v>
      </c>
    </row>
    <row r="10" spans="1:10" ht="15" x14ac:dyDescent="0.2">
      <c r="A10" s="101" t="s">
        <v>57</v>
      </c>
      <c r="B10" s="50">
        <v>673.73</v>
      </c>
      <c r="C10" s="52">
        <v>829.72</v>
      </c>
      <c r="D10" s="50">
        <v>908.35</v>
      </c>
      <c r="E10" s="52">
        <v>986.66</v>
      </c>
      <c r="F10" s="50">
        <v>1110.31</v>
      </c>
      <c r="G10" s="52">
        <v>1262.18</v>
      </c>
      <c r="H10" s="50">
        <v>1496.48</v>
      </c>
      <c r="I10" s="52">
        <v>1795.46</v>
      </c>
      <c r="J10" s="50">
        <f>J$9+J$9*3/100*1</f>
        <v>2203.1905999999999</v>
      </c>
    </row>
    <row r="11" spans="1:10" ht="15" x14ac:dyDescent="0.2">
      <c r="A11" s="101" t="s">
        <v>58</v>
      </c>
      <c r="B11" s="50">
        <v>693.36</v>
      </c>
      <c r="C11" s="52">
        <f>C$9+C$9*3/100*2</f>
        <v>853.89359999999999</v>
      </c>
      <c r="D11" s="50">
        <v>934.81</v>
      </c>
      <c r="E11" s="52">
        <v>1015.4</v>
      </c>
      <c r="F11" s="50">
        <v>1142.6500000000001</v>
      </c>
      <c r="G11" s="52">
        <v>1298.94</v>
      </c>
      <c r="H11" s="50">
        <f>H$9+H$9*3/100*2</f>
        <v>1540.0740000000001</v>
      </c>
      <c r="I11" s="52">
        <v>1847.76</v>
      </c>
      <c r="J11" s="50">
        <f>J$9+J$9*3/100*2</f>
        <v>2267.3611999999998</v>
      </c>
    </row>
    <row r="12" spans="1:10" ht="15" x14ac:dyDescent="0.2">
      <c r="A12" s="101" t="s">
        <v>59</v>
      </c>
      <c r="B12" s="50">
        <v>712.98</v>
      </c>
      <c r="C12" s="52">
        <f>C$9+C$9*3/100*3</f>
        <v>878.06039999999996</v>
      </c>
      <c r="D12" s="50">
        <v>961.27</v>
      </c>
      <c r="E12" s="52">
        <f>E$9+E$9*3/100*3</f>
        <v>1044.1436999999999</v>
      </c>
      <c r="F12" s="50">
        <f>F$9+F$9*3/100*3</f>
        <v>1174.9873</v>
      </c>
      <c r="G12" s="52">
        <f>G$9+G$9*3/100*3</f>
        <v>1335.7078000000001</v>
      </c>
      <c r="H12" s="50">
        <f>H$9+H$9*3/100*3</f>
        <v>1583.6610000000001</v>
      </c>
      <c r="I12" s="52">
        <v>1900.05</v>
      </c>
      <c r="J12" s="50">
        <f>J$9+J$9*3/100*3</f>
        <v>2331.5317999999997</v>
      </c>
    </row>
    <row r="13" spans="1:10" ht="15" x14ac:dyDescent="0.2">
      <c r="A13" s="101" t="s">
        <v>60</v>
      </c>
      <c r="B13" s="50">
        <v>732.6</v>
      </c>
      <c r="C13" s="52">
        <v>902.22</v>
      </c>
      <c r="D13" s="50">
        <v>987.72</v>
      </c>
      <c r="E13" s="52">
        <v>1072.8800000000001</v>
      </c>
      <c r="F13" s="50">
        <f>F$9+F$9*3/100*4</f>
        <v>1207.3263999999999</v>
      </c>
      <c r="G13" s="52">
        <v>1372.47</v>
      </c>
      <c r="H13" s="50">
        <v>1627.24</v>
      </c>
      <c r="I13" s="52">
        <f>I$9+I$9*3/100*4</f>
        <v>1952.3504</v>
      </c>
      <c r="J13" s="50">
        <f>J$9+J$9*3/100*4</f>
        <v>2395.7024000000001</v>
      </c>
    </row>
    <row r="14" spans="1:10" ht="15" x14ac:dyDescent="0.2">
      <c r="A14" s="101" t="s">
        <v>61</v>
      </c>
      <c r="B14" s="50">
        <v>752.23</v>
      </c>
      <c r="C14" s="52">
        <f>C$9+C$9*3/100*5</f>
        <v>926.39399999999989</v>
      </c>
      <c r="D14" s="50">
        <v>1014.18</v>
      </c>
      <c r="E14" s="52">
        <v>1101.6099999999999</v>
      </c>
      <c r="F14" s="50">
        <f>F$9+F$9*3/100*5</f>
        <v>1239.6655000000001</v>
      </c>
      <c r="G14" s="52">
        <f>G$9+G$9*3/100*5</f>
        <v>1409.2330000000002</v>
      </c>
      <c r="H14" s="50">
        <v>1670.83</v>
      </c>
      <c r="I14" s="52">
        <v>2004.64</v>
      </c>
      <c r="J14" s="50">
        <f>J$9+J$9*3/100*5</f>
        <v>2459.873</v>
      </c>
    </row>
    <row r="15" spans="1:10" ht="15" x14ac:dyDescent="0.2">
      <c r="A15" s="101" t="s">
        <v>62</v>
      </c>
      <c r="B15" s="50">
        <v>771.85</v>
      </c>
      <c r="C15" s="52">
        <f>C$9+C$9*3/100*6</f>
        <v>950.56079999999997</v>
      </c>
      <c r="D15" s="50">
        <v>1040.6400000000001</v>
      </c>
      <c r="E15" s="52">
        <v>1130.3499999999999</v>
      </c>
      <c r="F15" s="50">
        <v>1272.01</v>
      </c>
      <c r="G15" s="52">
        <v>1445.99</v>
      </c>
      <c r="H15" s="50">
        <f>H$9+H$9*3/100*6</f>
        <v>1714.422</v>
      </c>
      <c r="I15" s="52">
        <f>I$9+I$9*3/100*6</f>
        <v>2056.9405999999999</v>
      </c>
      <c r="J15" s="50">
        <f>J$9+J$9*3/100*6</f>
        <v>2524.0436</v>
      </c>
    </row>
    <row r="16" spans="1:10" ht="15" x14ac:dyDescent="0.2">
      <c r="A16" s="101" t="s">
        <v>63</v>
      </c>
      <c r="B16" s="50">
        <v>791.47</v>
      </c>
      <c r="C16" s="52">
        <v>974.72</v>
      </c>
      <c r="D16" s="50">
        <v>1067.0899999999999</v>
      </c>
      <c r="E16" s="52">
        <v>1159.0899999999999</v>
      </c>
      <c r="F16" s="50">
        <v>1304.3499999999999</v>
      </c>
      <c r="G16" s="52">
        <v>1482.76</v>
      </c>
      <c r="H16" s="50">
        <v>1758</v>
      </c>
      <c r="I16" s="52">
        <v>2109.23</v>
      </c>
      <c r="J16" s="50">
        <f>J$9+J$9*3/100*7</f>
        <v>2588.2141999999999</v>
      </c>
    </row>
    <row r="17" spans="1:10" ht="15" x14ac:dyDescent="0.2">
      <c r="A17" s="101" t="s">
        <v>64</v>
      </c>
      <c r="B17" s="50">
        <v>811.1</v>
      </c>
      <c r="C17" s="52">
        <v>998.89</v>
      </c>
      <c r="D17" s="50">
        <v>1093.55</v>
      </c>
      <c r="E17" s="52">
        <v>1187.83</v>
      </c>
      <c r="F17" s="50">
        <v>1336.69</v>
      </c>
      <c r="G17" s="52">
        <f>G$9+G$9*3/100*8</f>
        <v>1519.5208</v>
      </c>
      <c r="H17" s="50">
        <v>1801.59</v>
      </c>
      <c r="I17" s="52">
        <v>2161.5300000000002</v>
      </c>
      <c r="J17" s="50">
        <f>J$9+J$9*3/100*8</f>
        <v>2652.3847999999998</v>
      </c>
    </row>
    <row r="18" spans="1:10" ht="15" x14ac:dyDescent="0.2">
      <c r="A18" s="101" t="s">
        <v>65</v>
      </c>
      <c r="B18" s="50">
        <v>830.72</v>
      </c>
      <c r="C18" s="52">
        <v>1023.06</v>
      </c>
      <c r="D18" s="50">
        <f>D$9+D$9*3/100*9</f>
        <v>1120.0129999999999</v>
      </c>
      <c r="E18" s="52">
        <f>E$9+E$9*3/100*9</f>
        <v>1216.5710999999999</v>
      </c>
      <c r="F18" s="50">
        <v>1369.03</v>
      </c>
      <c r="G18" s="52">
        <f>G$9+G$9*3/100*9</f>
        <v>1556.2834</v>
      </c>
      <c r="H18" s="50">
        <v>1845.18</v>
      </c>
      <c r="I18" s="52">
        <v>2213.8200000000002</v>
      </c>
      <c r="J18" s="50">
        <v>2716.55</v>
      </c>
    </row>
    <row r="19" spans="1:10" ht="15" x14ac:dyDescent="0.2">
      <c r="A19" s="101" t="s">
        <v>66</v>
      </c>
      <c r="B19" s="50">
        <v>850.34</v>
      </c>
      <c r="C19" s="52">
        <v>1047.22</v>
      </c>
      <c r="D19" s="50">
        <v>1146.46</v>
      </c>
      <c r="E19" s="52">
        <v>1245.3</v>
      </c>
      <c r="F19" s="50">
        <v>1401.37</v>
      </c>
      <c r="G19" s="52">
        <v>1593.04</v>
      </c>
      <c r="H19" s="50">
        <v>1888.76</v>
      </c>
      <c r="I19" s="52">
        <v>2266.12</v>
      </c>
      <c r="J19" s="50">
        <v>2780.72</v>
      </c>
    </row>
    <row r="20" spans="1:10" ht="15" x14ac:dyDescent="0.2">
      <c r="A20" s="101" t="s">
        <v>67</v>
      </c>
      <c r="B20" s="50">
        <v>869.97</v>
      </c>
      <c r="C20" s="52">
        <v>1071.3900000000001</v>
      </c>
      <c r="D20" s="50">
        <v>1172.92</v>
      </c>
      <c r="E20" s="52">
        <v>1274.04</v>
      </c>
      <c r="F20" s="50">
        <v>1433.71</v>
      </c>
      <c r="G20" s="52">
        <f>G$9+G$9*3/100*11</f>
        <v>1629.8086000000001</v>
      </c>
      <c r="H20" s="50">
        <v>1932.35</v>
      </c>
      <c r="I20" s="52">
        <v>2318.41</v>
      </c>
      <c r="J20" s="50">
        <v>2844.89</v>
      </c>
    </row>
    <row r="21" spans="1:10" ht="15" x14ac:dyDescent="0.2">
      <c r="A21" s="101" t="s">
        <v>68</v>
      </c>
      <c r="B21" s="50">
        <v>889.59</v>
      </c>
      <c r="C21" s="52">
        <v>1095.56</v>
      </c>
      <c r="D21" s="50">
        <f>D$9+D$9*3/100*12</f>
        <v>1199.384</v>
      </c>
      <c r="E21" s="52">
        <v>1302.78</v>
      </c>
      <c r="F21" s="50">
        <f>F$9+F$9*3/100*12</f>
        <v>1466.0392000000002</v>
      </c>
      <c r="G21" s="52">
        <f>G$9+G$9*3/100*12</f>
        <v>1666.5712000000001</v>
      </c>
      <c r="H21" s="50">
        <f>H$9+H$9*3/100*12</f>
        <v>1975.9440000000002</v>
      </c>
      <c r="I21" s="52">
        <v>2370.71</v>
      </c>
      <c r="J21" s="50">
        <v>2909.06</v>
      </c>
    </row>
    <row r="22" spans="1:10" ht="15" x14ac:dyDescent="0.2">
      <c r="A22" s="101" t="s">
        <v>69</v>
      </c>
      <c r="B22" s="50">
        <v>909.21</v>
      </c>
      <c r="C22" s="52">
        <v>1119.72</v>
      </c>
      <c r="D22" s="50">
        <v>1225.83</v>
      </c>
      <c r="E22" s="52">
        <f>E$9+E$9*3/100*13</f>
        <v>1331.5227</v>
      </c>
      <c r="F22" s="50">
        <v>1498.38</v>
      </c>
      <c r="G22" s="52">
        <v>1703.33</v>
      </c>
      <c r="H22" s="50">
        <v>2019.52</v>
      </c>
      <c r="I22" s="52">
        <v>2423</v>
      </c>
      <c r="J22" s="50">
        <v>2937.98</v>
      </c>
    </row>
    <row r="23" spans="1:10" ht="15" x14ac:dyDescent="0.2">
      <c r="A23" s="101" t="s">
        <v>70</v>
      </c>
      <c r="B23" s="50">
        <v>928.84</v>
      </c>
      <c r="C23" s="52">
        <v>1143.8900000000001</v>
      </c>
      <c r="D23" s="50">
        <v>1252.29</v>
      </c>
      <c r="E23" s="52">
        <v>1360.25</v>
      </c>
      <c r="F23" s="50">
        <f>F$9+F$9*3/100*14</f>
        <v>1530.7174</v>
      </c>
      <c r="G23" s="52">
        <v>1740.09</v>
      </c>
      <c r="H23" s="50">
        <v>2063.11</v>
      </c>
      <c r="I23" s="52">
        <v>2475.3000000000002</v>
      </c>
      <c r="J23" s="50">
        <v>3037.41</v>
      </c>
    </row>
    <row r="24" spans="1:10" ht="15" x14ac:dyDescent="0.2">
      <c r="A24" s="101" t="s">
        <v>71</v>
      </c>
      <c r="B24" s="50">
        <f>B$9+B$9*3/100*15</f>
        <v>948.45950000000005</v>
      </c>
      <c r="C24" s="52">
        <v>1168.06</v>
      </c>
      <c r="D24" s="50">
        <v>1278.75</v>
      </c>
      <c r="E24" s="52">
        <v>1388.99</v>
      </c>
      <c r="F24" s="50">
        <f>F$9+F$9*3/100*15</f>
        <v>1563.0565000000001</v>
      </c>
      <c r="G24" s="52">
        <f>G$9+G$9*3/100*15</f>
        <v>1776.8589999999999</v>
      </c>
      <c r="H24" s="50">
        <v>2106.6999999999998</v>
      </c>
      <c r="I24" s="52">
        <v>2527.59</v>
      </c>
      <c r="J24" s="50">
        <v>3101.58</v>
      </c>
    </row>
    <row r="25" spans="1:10" ht="15" x14ac:dyDescent="0.2">
      <c r="A25" s="101" t="s">
        <v>72</v>
      </c>
      <c r="B25" s="50">
        <f>B$9+B$9*3/100*16</f>
        <v>968.08280000000002</v>
      </c>
      <c r="C25" s="52">
        <v>1192.22</v>
      </c>
      <c r="D25" s="50">
        <v>1305.2</v>
      </c>
      <c r="E25" s="52">
        <v>1417.73</v>
      </c>
      <c r="F25" s="50">
        <f>F$9+F$9*3/100*16</f>
        <v>1595.3956000000001</v>
      </c>
      <c r="G25" s="52">
        <v>1813.62</v>
      </c>
      <c r="H25" s="50">
        <v>2150.2800000000002</v>
      </c>
      <c r="I25" s="52">
        <v>2579.89</v>
      </c>
      <c r="J25" s="50">
        <v>3165.75</v>
      </c>
    </row>
    <row r="26" spans="1:10" ht="15" x14ac:dyDescent="0.2">
      <c r="A26" s="101" t="s">
        <v>73</v>
      </c>
      <c r="B26" s="50">
        <f>B$9+B$9*3/100*17</f>
        <v>987.70609999999999</v>
      </c>
      <c r="C26" s="52">
        <v>1216.3900000000001</v>
      </c>
      <c r="D26" s="50">
        <v>1331.66</v>
      </c>
      <c r="E26" s="52">
        <f>E$9+E$9*3/100*17</f>
        <v>1446.4742999999999</v>
      </c>
      <c r="F26" s="50">
        <v>1627.74</v>
      </c>
      <c r="G26" s="52">
        <f>G$9+G$9*3/100*17</f>
        <v>1850.3842</v>
      </c>
      <c r="H26" s="50">
        <v>2193.87</v>
      </c>
      <c r="I26" s="52">
        <v>2632.18</v>
      </c>
      <c r="J26" s="50">
        <v>3229.92</v>
      </c>
    </row>
    <row r="27" spans="1:10" ht="15" x14ac:dyDescent="0.2">
      <c r="A27" s="101" t="s">
        <v>74</v>
      </c>
      <c r="B27" s="50">
        <v>1007.33</v>
      </c>
      <c r="C27" s="52">
        <v>1240.56</v>
      </c>
      <c r="D27" s="50">
        <v>1358.12</v>
      </c>
      <c r="E27" s="52">
        <v>1475.21</v>
      </c>
      <c r="F27" s="50">
        <v>1660.08</v>
      </c>
      <c r="G27" s="52">
        <v>1887.14</v>
      </c>
      <c r="H27" s="50">
        <v>2237.46</v>
      </c>
      <c r="I27" s="52">
        <v>2684.48</v>
      </c>
      <c r="J27" s="50">
        <v>3294.09</v>
      </c>
    </row>
    <row r="28" spans="1:10" ht="15" x14ac:dyDescent="0.2">
      <c r="A28" s="101" t="s">
        <v>75</v>
      </c>
      <c r="B28" s="50">
        <v>1026.95</v>
      </c>
      <c r="C28" s="52">
        <v>1264.72</v>
      </c>
      <c r="D28" s="50">
        <v>1384.58</v>
      </c>
      <c r="E28" s="52">
        <v>1503.94</v>
      </c>
      <c r="F28" s="50">
        <v>1692.42</v>
      </c>
      <c r="G28" s="52">
        <v>1923.91</v>
      </c>
      <c r="H28" s="50">
        <v>2281.0500000000002</v>
      </c>
      <c r="I28" s="52">
        <v>2736.77</v>
      </c>
      <c r="J28" s="50">
        <v>3358.26</v>
      </c>
    </row>
    <row r="29" spans="1:10" ht="15" x14ac:dyDescent="0.2">
      <c r="A29" s="101" t="s">
        <v>76</v>
      </c>
      <c r="B29" s="50">
        <v>1046.58</v>
      </c>
      <c r="C29" s="52">
        <v>1288.8900000000001</v>
      </c>
      <c r="D29" s="50">
        <v>1411.03</v>
      </c>
      <c r="E29" s="52">
        <v>1532.68</v>
      </c>
      <c r="F29" s="50">
        <v>1724.76</v>
      </c>
      <c r="G29" s="52">
        <f>G$9+G$9*3/100*20</f>
        <v>1960.672</v>
      </c>
      <c r="H29" s="50">
        <v>2324.63</v>
      </c>
      <c r="I29" s="52">
        <v>2789.07</v>
      </c>
      <c r="J29" s="50">
        <v>3422.43</v>
      </c>
    </row>
    <row r="30" spans="1:10" ht="15" x14ac:dyDescent="0.2">
      <c r="A30" s="101" t="s">
        <v>77</v>
      </c>
      <c r="B30" s="50">
        <v>1066.2</v>
      </c>
      <c r="C30" s="52">
        <v>1313.06</v>
      </c>
      <c r="D30" s="50">
        <v>1437.49</v>
      </c>
      <c r="E30" s="52">
        <v>1561.42</v>
      </c>
      <c r="F30" s="50">
        <v>1757.1</v>
      </c>
      <c r="G30" s="52">
        <f>G$9+G$9*3/100*21</f>
        <v>1997.4346</v>
      </c>
      <c r="H30" s="50">
        <v>2368.2199999999998</v>
      </c>
      <c r="I30" s="52">
        <v>2841.36</v>
      </c>
      <c r="J30" s="50">
        <v>3486.6</v>
      </c>
    </row>
    <row r="31" spans="1:10" ht="15" x14ac:dyDescent="0.2">
      <c r="A31" s="101" t="s">
        <v>78</v>
      </c>
      <c r="B31" s="50">
        <v>1085.82</v>
      </c>
      <c r="C31" s="52">
        <v>1337.22</v>
      </c>
      <c r="D31" s="50">
        <f>D$9+D$9*3/100*22</f>
        <v>1463.954</v>
      </c>
      <c r="E31" s="52">
        <v>1590.16</v>
      </c>
      <c r="F31" s="50">
        <v>1789.44</v>
      </c>
      <c r="G31" s="52">
        <v>2034.19</v>
      </c>
      <c r="H31" s="50">
        <f>H$9+H$9*3/100*22</f>
        <v>2411.8140000000003</v>
      </c>
      <c r="I31" s="52">
        <v>2893.66</v>
      </c>
      <c r="J31" s="50">
        <v>3550.77</v>
      </c>
    </row>
    <row r="32" spans="1:10" ht="15" x14ac:dyDescent="0.2">
      <c r="A32" s="101" t="s">
        <v>79</v>
      </c>
      <c r="B32" s="50">
        <v>1105.45</v>
      </c>
      <c r="C32" s="52">
        <v>1361.39</v>
      </c>
      <c r="D32" s="50">
        <v>1490.4</v>
      </c>
      <c r="E32" s="52">
        <v>1618.89</v>
      </c>
      <c r="F32" s="50">
        <v>1821.78</v>
      </c>
      <c r="G32" s="52">
        <f>G$9+G$9*3/100*23</f>
        <v>2070.9598000000001</v>
      </c>
      <c r="H32" s="50">
        <v>2455.39</v>
      </c>
      <c r="I32" s="52">
        <v>2945.95</v>
      </c>
      <c r="J32" s="50">
        <v>3614.94</v>
      </c>
    </row>
    <row r="33" spans="1:10" ht="15" x14ac:dyDescent="0.2">
      <c r="A33" s="101" t="s">
        <v>80</v>
      </c>
      <c r="B33" s="50">
        <v>1125.07</v>
      </c>
      <c r="C33" s="52">
        <v>1385.56</v>
      </c>
      <c r="D33" s="50">
        <v>1516.86</v>
      </c>
      <c r="E33" s="52">
        <v>1647.63</v>
      </c>
      <c r="F33" s="50">
        <v>1854.12</v>
      </c>
      <c r="G33" s="52">
        <f>G$9+G$9*3/100*24</f>
        <v>2107.7224000000001</v>
      </c>
      <c r="H33" s="50">
        <v>2498.98</v>
      </c>
      <c r="I33" s="52">
        <v>2998.25</v>
      </c>
      <c r="J33" s="50">
        <v>3679.11</v>
      </c>
    </row>
    <row r="34" spans="1:10" ht="15" x14ac:dyDescent="0.2">
      <c r="A34" s="101" t="s">
        <v>81</v>
      </c>
      <c r="B34" s="50">
        <v>1144.69</v>
      </c>
      <c r="C34" s="52">
        <v>1409.72</v>
      </c>
      <c r="D34" s="50">
        <v>1543.22</v>
      </c>
      <c r="E34" s="52">
        <v>1676.37</v>
      </c>
      <c r="F34" s="50">
        <v>1886.45</v>
      </c>
      <c r="G34" s="52">
        <v>2144.48</v>
      </c>
      <c r="H34" s="50">
        <v>2542.5700000000002</v>
      </c>
      <c r="I34" s="52">
        <v>3050.54</v>
      </c>
      <c r="J34" s="50">
        <v>3743.28</v>
      </c>
    </row>
  </sheetData>
  <printOptions horizontalCentered="1" verticalCentered="1"/>
  <pageMargins left="0.78749999999999998" right="0.78749999999999998" top="0.78749999999999998" bottom="0.196527777777778" header="0.51180555555555496" footer="0.51180555555555496"/>
  <pageSetup paperSize="0" scale="0" firstPageNumber="0" orientation="portrait" usePrinterDefaults="0" horizontalDpi="0" verticalDpi="0" copies="0"/>
  <headerFooter>
    <oddHeader>&amp;C&amp;"Comic Sans MS,Fett"&amp;12Gehaltstabellen von 01.02.2003 bis 30.06.2003 / Tabelle stipendiali dal 01.02.2003 al 30.06.2003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24.140625"/>
    <col min="2" max="256" width="11"/>
    <col min="257" max="1025" width="11.5703125"/>
  </cols>
  <sheetData>
    <row r="1" spans="1:10" ht="15.75" x14ac:dyDescent="0.25">
      <c r="A1" s="77"/>
      <c r="B1" s="9" t="s">
        <v>44</v>
      </c>
      <c r="C1" s="40" t="s">
        <v>45</v>
      </c>
      <c r="D1" s="9" t="s">
        <v>46</v>
      </c>
      <c r="E1" s="40" t="s">
        <v>47</v>
      </c>
      <c r="F1" s="9" t="s">
        <v>48</v>
      </c>
      <c r="G1" s="40" t="s">
        <v>49</v>
      </c>
      <c r="H1" s="9" t="s">
        <v>50</v>
      </c>
      <c r="I1" s="40" t="s">
        <v>51</v>
      </c>
      <c r="J1" s="9" t="s">
        <v>52</v>
      </c>
    </row>
    <row r="2" spans="1:10" ht="15" x14ac:dyDescent="0.2">
      <c r="A2" s="81" t="s">
        <v>10</v>
      </c>
      <c r="B2" s="81"/>
      <c r="C2" s="69"/>
      <c r="D2" s="81"/>
      <c r="E2" s="69"/>
      <c r="F2" s="81"/>
      <c r="G2" s="69"/>
      <c r="H2" s="81"/>
      <c r="I2" s="69"/>
      <c r="J2" s="81"/>
    </row>
    <row r="3" spans="1:10" ht="15.75" x14ac:dyDescent="0.25">
      <c r="A3" s="100" t="s">
        <v>11</v>
      </c>
      <c r="B3" s="47">
        <v>532.17999999999995</v>
      </c>
      <c r="C3" s="49">
        <v>641.76</v>
      </c>
      <c r="D3" s="47">
        <v>697.33</v>
      </c>
      <c r="E3" s="49">
        <v>752.91</v>
      </c>
      <c r="F3" s="47">
        <v>847.41</v>
      </c>
      <c r="G3" s="49">
        <v>945.69</v>
      </c>
      <c r="H3" s="47">
        <v>1121.51</v>
      </c>
      <c r="I3" s="49">
        <v>1369.86</v>
      </c>
      <c r="J3" s="47">
        <v>1636.74</v>
      </c>
    </row>
    <row r="4" spans="1:10" ht="15" x14ac:dyDescent="0.2">
      <c r="A4" s="101" t="s">
        <v>53</v>
      </c>
      <c r="B4" s="50">
        <v>564.12</v>
      </c>
      <c r="C4" s="52">
        <f>C$3+C$3*6/100</f>
        <v>680.26559999999995</v>
      </c>
      <c r="D4" s="50">
        <v>739.17</v>
      </c>
      <c r="E4" s="52">
        <v>798.08</v>
      </c>
      <c r="F4" s="50">
        <v>898.26</v>
      </c>
      <c r="G4" s="52">
        <f>G$3+G$3*6/100</f>
        <v>1002.4314000000001</v>
      </c>
      <c r="H4" s="50">
        <f>H$3+H$3*6/100</f>
        <v>1188.8006</v>
      </c>
      <c r="I4" s="52">
        <v>1452.06</v>
      </c>
      <c r="J4" s="50">
        <v>1734.95</v>
      </c>
    </row>
    <row r="5" spans="1:10" ht="15" x14ac:dyDescent="0.2">
      <c r="A5" s="101" t="s">
        <v>54</v>
      </c>
      <c r="B5" s="50">
        <v>596.04999999999995</v>
      </c>
      <c r="C5" s="52">
        <v>718.77</v>
      </c>
      <c r="D5" s="50">
        <v>781.01</v>
      </c>
      <c r="E5" s="52">
        <v>843.26</v>
      </c>
      <c r="F5" s="50">
        <v>949.1</v>
      </c>
      <c r="G5" s="52">
        <f>G$3+G$3*6/100*2</f>
        <v>1059.1728000000001</v>
      </c>
      <c r="H5" s="50">
        <f>H$3+H$3*6/100*2</f>
        <v>1256.0912000000001</v>
      </c>
      <c r="I5" s="52">
        <v>1534.25</v>
      </c>
      <c r="J5" s="50">
        <v>1833.15</v>
      </c>
    </row>
    <row r="6" spans="1:10" ht="15" x14ac:dyDescent="0.2">
      <c r="A6" s="101" t="s">
        <v>55</v>
      </c>
      <c r="B6" s="50">
        <v>627.98</v>
      </c>
      <c r="C6" s="52">
        <f>C$3+C$3*6/100*3</f>
        <v>757.27679999999998</v>
      </c>
      <c r="D6" s="50">
        <v>822.85</v>
      </c>
      <c r="E6" s="52">
        <f>E$3+E$3*6/100*3</f>
        <v>888.43380000000002</v>
      </c>
      <c r="F6" s="50">
        <v>999.95</v>
      </c>
      <c r="G6" s="52">
        <f>G$3+G$3*6/100*3</f>
        <v>1115.9142000000002</v>
      </c>
      <c r="H6" s="50">
        <f>H$3+H$3*6/100*3</f>
        <v>1323.3818000000001</v>
      </c>
      <c r="I6" s="52">
        <v>1616.44</v>
      </c>
      <c r="J6" s="50">
        <v>1931.36</v>
      </c>
    </row>
    <row r="7" spans="1:10" ht="15" x14ac:dyDescent="0.2">
      <c r="A7" s="89"/>
      <c r="B7" s="89"/>
      <c r="C7" s="102"/>
      <c r="D7" s="89"/>
      <c r="E7" s="102"/>
      <c r="F7" s="89"/>
      <c r="G7" s="102"/>
      <c r="H7" s="89"/>
      <c r="I7" s="102"/>
      <c r="J7" s="89"/>
    </row>
    <row r="8" spans="1:10" ht="15" x14ac:dyDescent="0.2">
      <c r="A8" s="83" t="s">
        <v>56</v>
      </c>
      <c r="B8" s="83"/>
      <c r="C8" s="103"/>
      <c r="D8" s="83"/>
      <c r="E8" s="103"/>
      <c r="F8" s="83"/>
      <c r="G8" s="103"/>
      <c r="H8" s="83"/>
      <c r="I8" s="103"/>
      <c r="J8" s="83"/>
    </row>
    <row r="9" spans="1:10" ht="15.75" x14ac:dyDescent="0.25">
      <c r="A9" s="100" t="s">
        <v>11</v>
      </c>
      <c r="B9" s="47">
        <v>667.19</v>
      </c>
      <c r="C9" s="49">
        <v>821.67</v>
      </c>
      <c r="D9" s="47">
        <v>899.53</v>
      </c>
      <c r="E9" s="49">
        <v>977.08</v>
      </c>
      <c r="F9" s="47">
        <v>1099.53</v>
      </c>
      <c r="G9" s="49">
        <v>1249.93</v>
      </c>
      <c r="H9" s="47">
        <v>1481.95</v>
      </c>
      <c r="I9" s="49">
        <v>1778.03</v>
      </c>
      <c r="J9" s="47">
        <v>2181.8000000000002</v>
      </c>
    </row>
    <row r="10" spans="1:10" ht="15" x14ac:dyDescent="0.2">
      <c r="A10" s="101" t="s">
        <v>57</v>
      </c>
      <c r="B10" s="50">
        <v>687.21</v>
      </c>
      <c r="C10" s="52">
        <v>846.32</v>
      </c>
      <c r="D10" s="50">
        <v>926.52</v>
      </c>
      <c r="E10" s="52">
        <v>1006.4</v>
      </c>
      <c r="F10" s="50">
        <v>1132.52</v>
      </c>
      <c r="G10" s="52">
        <v>1287.42</v>
      </c>
      <c r="H10" s="50">
        <v>1526.41</v>
      </c>
      <c r="I10" s="52">
        <v>1831.37</v>
      </c>
      <c r="J10" s="50">
        <f>J$9+J$9*3/100*1</f>
        <v>2247.2540000000004</v>
      </c>
    </row>
    <row r="11" spans="1:10" ht="15" x14ac:dyDescent="0.2">
      <c r="A11" s="101" t="s">
        <v>58</v>
      </c>
      <c r="B11" s="50">
        <v>707.22</v>
      </c>
      <c r="C11" s="52">
        <f>C$9+C$9*3/100*2</f>
        <v>870.97019999999998</v>
      </c>
      <c r="D11" s="50">
        <v>953.5</v>
      </c>
      <c r="E11" s="52">
        <v>1035.71</v>
      </c>
      <c r="F11" s="50">
        <v>1165.51</v>
      </c>
      <c r="G11" s="52">
        <v>1324.92</v>
      </c>
      <c r="H11" s="50">
        <f>H$9+H$9*3/100*2</f>
        <v>1570.867</v>
      </c>
      <c r="I11" s="52">
        <v>1884.71</v>
      </c>
      <c r="J11" s="50">
        <f>J$9+J$9*3/100*2</f>
        <v>2312.7080000000001</v>
      </c>
    </row>
    <row r="12" spans="1:10" ht="15" x14ac:dyDescent="0.2">
      <c r="A12" s="101" t="s">
        <v>59</v>
      </c>
      <c r="B12" s="50">
        <v>727.24</v>
      </c>
      <c r="C12" s="52">
        <f>C$9+C$9*3/100*3</f>
        <v>895.62029999999993</v>
      </c>
      <c r="D12" s="50">
        <v>980.49</v>
      </c>
      <c r="E12" s="52">
        <v>1065.02</v>
      </c>
      <c r="F12" s="50">
        <f>F$9+F$9*3/100*3</f>
        <v>1198.4876999999999</v>
      </c>
      <c r="G12" s="52">
        <f>G$9+G$9*3/100*3</f>
        <v>1362.4237000000001</v>
      </c>
      <c r="H12" s="50">
        <f>H$9+H$9*3/100*3</f>
        <v>1615.3254999999999</v>
      </c>
      <c r="I12" s="52">
        <v>1938.05</v>
      </c>
      <c r="J12" s="50">
        <f>J$9+J$9*3/100*3</f>
        <v>2378.1620000000003</v>
      </c>
    </row>
    <row r="13" spans="1:10" ht="15" x14ac:dyDescent="0.2">
      <c r="A13" s="101" t="s">
        <v>60</v>
      </c>
      <c r="B13" s="50">
        <v>747.26</v>
      </c>
      <c r="C13" s="52">
        <v>920.27</v>
      </c>
      <c r="D13" s="50">
        <v>1007.48</v>
      </c>
      <c r="E13" s="52">
        <v>1094.33</v>
      </c>
      <c r="F13" s="50">
        <v>1231.48</v>
      </c>
      <c r="G13" s="52">
        <v>1399.92</v>
      </c>
      <c r="H13" s="50">
        <v>1659.79</v>
      </c>
      <c r="I13" s="52">
        <f>I$9+I$9*3/100*4</f>
        <v>1991.3935999999999</v>
      </c>
      <c r="J13" s="50">
        <f>J$9+J$9*3/100*4</f>
        <v>2443.616</v>
      </c>
    </row>
    <row r="14" spans="1:10" ht="15" x14ac:dyDescent="0.2">
      <c r="A14" s="101" t="s">
        <v>61</v>
      </c>
      <c r="B14" s="50">
        <v>767.27</v>
      </c>
      <c r="C14" s="52">
        <f>C$9+C$9*3/100*5</f>
        <v>944.92049999999995</v>
      </c>
      <c r="D14" s="50">
        <v>1034.46</v>
      </c>
      <c r="E14" s="52">
        <v>1123.6500000000001</v>
      </c>
      <c r="F14" s="50">
        <f>F$9+F$9*3/100*5</f>
        <v>1264.4594999999999</v>
      </c>
      <c r="G14" s="52">
        <f>G$9+G$9*3/100*5</f>
        <v>1437.4195</v>
      </c>
      <c r="H14" s="50">
        <v>1704.25</v>
      </c>
      <c r="I14" s="52">
        <v>2044.73</v>
      </c>
      <c r="J14" s="50">
        <f>J$9+J$9*3/100*5</f>
        <v>2509.0700000000002</v>
      </c>
    </row>
    <row r="15" spans="1:10" ht="15" x14ac:dyDescent="0.2">
      <c r="A15" s="101" t="s">
        <v>62</v>
      </c>
      <c r="B15" s="50">
        <v>787.29</v>
      </c>
      <c r="C15" s="52">
        <f>C$9+C$9*3/100*6</f>
        <v>969.57060000000001</v>
      </c>
      <c r="D15" s="50">
        <v>1061.45</v>
      </c>
      <c r="E15" s="52">
        <v>1152.96</v>
      </c>
      <c r="F15" s="50">
        <v>1297.45</v>
      </c>
      <c r="G15" s="52">
        <v>1474.91</v>
      </c>
      <c r="H15" s="50">
        <f>H$9+H$9*3/100*6</f>
        <v>1748.701</v>
      </c>
      <c r="I15" s="52">
        <v>2098.0700000000002</v>
      </c>
      <c r="J15" s="50">
        <f>J$9+J$9*3/100*6</f>
        <v>2574.5240000000003</v>
      </c>
    </row>
    <row r="16" spans="1:10" ht="15" x14ac:dyDescent="0.2">
      <c r="A16" s="101" t="s">
        <v>63</v>
      </c>
      <c r="B16" s="50">
        <v>807.3</v>
      </c>
      <c r="C16" s="52">
        <v>994.22</v>
      </c>
      <c r="D16" s="50">
        <v>1088.43</v>
      </c>
      <c r="E16" s="52">
        <v>1182.27</v>
      </c>
      <c r="F16" s="50">
        <v>1330.44</v>
      </c>
      <c r="G16" s="52">
        <v>1512.41</v>
      </c>
      <c r="H16" s="50">
        <v>1793.16</v>
      </c>
      <c r="I16" s="52">
        <v>2151.42</v>
      </c>
      <c r="J16" s="50">
        <f>J$9+J$9*3/100*7</f>
        <v>2639.9780000000001</v>
      </c>
    </row>
    <row r="17" spans="1:10" ht="15" x14ac:dyDescent="0.2">
      <c r="A17" s="101" t="s">
        <v>64</v>
      </c>
      <c r="B17" s="50">
        <v>827.32</v>
      </c>
      <c r="C17" s="52">
        <v>1018.87</v>
      </c>
      <c r="D17" s="50">
        <v>1115.42</v>
      </c>
      <c r="E17" s="52">
        <v>1211.58</v>
      </c>
      <c r="F17" s="50">
        <v>1363.42</v>
      </c>
      <c r="G17" s="52">
        <f>G$9+G$9*3/100*8</f>
        <v>1549.9132</v>
      </c>
      <c r="H17" s="50">
        <v>1837.62</v>
      </c>
      <c r="I17" s="52">
        <v>2204.7600000000002</v>
      </c>
      <c r="J17" s="50">
        <f>J$9+J$9*3/100*8</f>
        <v>2705.4320000000002</v>
      </c>
    </row>
    <row r="18" spans="1:10" ht="15" x14ac:dyDescent="0.2">
      <c r="A18" s="101" t="s">
        <v>65</v>
      </c>
      <c r="B18" s="50">
        <v>847.34</v>
      </c>
      <c r="C18" s="52">
        <v>1043.52</v>
      </c>
      <c r="D18" s="50">
        <v>1142.4100000000001</v>
      </c>
      <c r="E18" s="52">
        <v>1240.9000000000001</v>
      </c>
      <c r="F18" s="50">
        <v>1396.41</v>
      </c>
      <c r="G18" s="52">
        <f>G$9+G$9*3/100*9</f>
        <v>1587.4111</v>
      </c>
      <c r="H18" s="50">
        <v>1882.08</v>
      </c>
      <c r="I18" s="52">
        <v>2258.1</v>
      </c>
      <c r="J18" s="50">
        <f>J$9+J$9*3/100*9</f>
        <v>2770.8860000000004</v>
      </c>
    </row>
    <row r="19" spans="1:10" ht="15" x14ac:dyDescent="0.2">
      <c r="A19" s="101" t="s">
        <v>66</v>
      </c>
      <c r="B19" s="50">
        <v>867.35</v>
      </c>
      <c r="C19" s="52">
        <v>1068.17</v>
      </c>
      <c r="D19" s="50">
        <v>1169.3900000000001</v>
      </c>
      <c r="E19" s="52">
        <v>1270.21</v>
      </c>
      <c r="F19" s="50">
        <v>1429.39</v>
      </c>
      <c r="G19" s="52">
        <v>1624.9</v>
      </c>
      <c r="H19" s="50">
        <v>1926.54</v>
      </c>
      <c r="I19" s="52">
        <v>2311.44</v>
      </c>
      <c r="J19" s="50">
        <f>J$9+J$9*3/100*10</f>
        <v>2836.34</v>
      </c>
    </row>
    <row r="20" spans="1:10" ht="15" x14ac:dyDescent="0.2">
      <c r="A20" s="101" t="s">
        <v>67</v>
      </c>
      <c r="B20" s="50">
        <v>887.37</v>
      </c>
      <c r="C20" s="52">
        <v>1092.82</v>
      </c>
      <c r="D20" s="50">
        <v>1196.3800000000001</v>
      </c>
      <c r="E20" s="52">
        <v>1299.52</v>
      </c>
      <c r="F20" s="50">
        <v>1462.38</v>
      </c>
      <c r="G20" s="52">
        <v>1662.4</v>
      </c>
      <c r="H20" s="50">
        <v>1971</v>
      </c>
      <c r="I20" s="52">
        <v>2364.7800000000002</v>
      </c>
      <c r="J20" s="50">
        <f>J$9+J$9*3/100*11</f>
        <v>2901.7940000000003</v>
      </c>
    </row>
    <row r="21" spans="1:10" ht="15" x14ac:dyDescent="0.2">
      <c r="A21" s="101" t="s">
        <v>68</v>
      </c>
      <c r="B21" s="50">
        <v>907.38</v>
      </c>
      <c r="C21" s="52">
        <v>1117.47</v>
      </c>
      <c r="D21" s="50">
        <f>D$9+D$9*3/100*12</f>
        <v>1223.3607999999999</v>
      </c>
      <c r="E21" s="52">
        <v>1328.83</v>
      </c>
      <c r="F21" s="50">
        <v>1495.37</v>
      </c>
      <c r="G21" s="52">
        <f>G$9+G$9*3/100*12</f>
        <v>1699.9048</v>
      </c>
      <c r="H21" s="50">
        <v>2015.46</v>
      </c>
      <c r="I21" s="52">
        <v>2418.12</v>
      </c>
      <c r="J21" s="50">
        <f>J$9+J$9*3/100*12</f>
        <v>2967.2480000000005</v>
      </c>
    </row>
    <row r="22" spans="1:10" ht="15" x14ac:dyDescent="0.2">
      <c r="A22" s="101" t="s">
        <v>69</v>
      </c>
      <c r="B22" s="50">
        <v>927.4</v>
      </c>
      <c r="C22" s="52">
        <v>1142.1199999999999</v>
      </c>
      <c r="D22" s="50">
        <v>1250.3499999999999</v>
      </c>
      <c r="E22" s="52">
        <v>1358.15</v>
      </c>
      <c r="F22" s="50">
        <v>1528.35</v>
      </c>
      <c r="G22" s="52">
        <v>1737.4</v>
      </c>
      <c r="H22" s="50">
        <v>2059.91</v>
      </c>
      <c r="I22" s="52">
        <v>2471.46</v>
      </c>
      <c r="J22" s="50">
        <f>J$9+J$9*3/100*13</f>
        <v>3032.7020000000002</v>
      </c>
    </row>
    <row r="23" spans="1:10" ht="15" x14ac:dyDescent="0.2">
      <c r="A23" s="101" t="s">
        <v>70</v>
      </c>
      <c r="B23" s="50">
        <v>947.41</v>
      </c>
      <c r="C23" s="52">
        <v>1166.77</v>
      </c>
      <c r="D23" s="50">
        <v>1277.3399999999999</v>
      </c>
      <c r="E23" s="52">
        <v>1387.46</v>
      </c>
      <c r="F23" s="50">
        <v>1561.34</v>
      </c>
      <c r="G23" s="52">
        <v>1774.9</v>
      </c>
      <c r="H23" s="50">
        <v>2104.37</v>
      </c>
      <c r="I23" s="52">
        <v>2524.8000000000002</v>
      </c>
      <c r="J23" s="50">
        <f>J$9+J$9*3/100*14</f>
        <v>3098.1560000000004</v>
      </c>
    </row>
    <row r="24" spans="1:10" ht="15" x14ac:dyDescent="0.2">
      <c r="A24" s="101" t="s">
        <v>71</v>
      </c>
      <c r="B24" s="50">
        <f>B$9+B$9*3/100*15</f>
        <v>967.42550000000006</v>
      </c>
      <c r="C24" s="52">
        <v>1191.42</v>
      </c>
      <c r="D24" s="50">
        <v>1304.32</v>
      </c>
      <c r="E24" s="52">
        <v>1416.77</v>
      </c>
      <c r="F24" s="50">
        <f>F$9+F$9*3/100*15</f>
        <v>1594.3184999999999</v>
      </c>
      <c r="G24" s="52">
        <v>1812.39</v>
      </c>
      <c r="H24" s="50">
        <v>2148.83</v>
      </c>
      <c r="I24" s="52">
        <v>2578.14</v>
      </c>
      <c r="J24" s="50">
        <f>J$9+J$9*3/100*15</f>
        <v>3163.6100000000006</v>
      </c>
    </row>
    <row r="25" spans="1:10" ht="15" x14ac:dyDescent="0.2">
      <c r="A25" s="101" t="s">
        <v>72</v>
      </c>
      <c r="B25" s="50">
        <v>987.45</v>
      </c>
      <c r="C25" s="52">
        <v>1216.07</v>
      </c>
      <c r="D25" s="50">
        <v>1331.31</v>
      </c>
      <c r="E25" s="52">
        <v>1446.08</v>
      </c>
      <c r="F25" s="50">
        <v>1627.31</v>
      </c>
      <c r="G25" s="52">
        <v>1849.89</v>
      </c>
      <c r="H25" s="50">
        <v>2193.29</v>
      </c>
      <c r="I25" s="52">
        <v>2631.48</v>
      </c>
      <c r="J25" s="50">
        <f>J$9+J$9*3/100*16</f>
        <v>3229.0640000000003</v>
      </c>
    </row>
    <row r="26" spans="1:10" ht="15" x14ac:dyDescent="0.2">
      <c r="A26" s="101" t="s">
        <v>73</v>
      </c>
      <c r="B26" s="50">
        <f>B$9+B$9*3/100*17</f>
        <v>1007.4569000000001</v>
      </c>
      <c r="C26" s="52">
        <v>1240.72</v>
      </c>
      <c r="D26" s="50">
        <v>1358.29</v>
      </c>
      <c r="E26" s="52">
        <v>1475.4</v>
      </c>
      <c r="F26" s="50">
        <v>1660.3</v>
      </c>
      <c r="G26" s="52">
        <f>G$9+G$9*3/100*17</f>
        <v>1887.3942999999999</v>
      </c>
      <c r="H26" s="50">
        <v>2237.75</v>
      </c>
      <c r="I26" s="52">
        <v>2684.82</v>
      </c>
      <c r="J26" s="50">
        <f>J$9+J$9*3/100*17</f>
        <v>3294.518</v>
      </c>
    </row>
    <row r="27" spans="1:10" ht="15" x14ac:dyDescent="0.2">
      <c r="A27" s="101" t="s">
        <v>74</v>
      </c>
      <c r="B27" s="50">
        <v>1027.48</v>
      </c>
      <c r="C27" s="52">
        <v>1265.3699999999999</v>
      </c>
      <c r="D27" s="50">
        <v>1385.28</v>
      </c>
      <c r="E27" s="52">
        <v>1504.71</v>
      </c>
      <c r="F27" s="50">
        <v>1693.28</v>
      </c>
      <c r="G27" s="52">
        <v>1924.89</v>
      </c>
      <c r="H27" s="50">
        <v>2282.21</v>
      </c>
      <c r="I27" s="52">
        <v>2738.16</v>
      </c>
      <c r="J27" s="50">
        <f>J$9+J$9*3/100*18</f>
        <v>3359.9720000000002</v>
      </c>
    </row>
    <row r="28" spans="1:10" ht="15" x14ac:dyDescent="0.2">
      <c r="A28" s="101" t="s">
        <v>75</v>
      </c>
      <c r="B28" s="50">
        <v>1047.49</v>
      </c>
      <c r="C28" s="52">
        <v>1290.02</v>
      </c>
      <c r="D28" s="50">
        <v>1412.27</v>
      </c>
      <c r="E28" s="52">
        <v>1534.02</v>
      </c>
      <c r="F28" s="50">
        <v>1726.27</v>
      </c>
      <c r="G28" s="52">
        <v>1962.88</v>
      </c>
      <c r="H28" s="50">
        <v>2326.67</v>
      </c>
      <c r="I28" s="52">
        <v>2791.51</v>
      </c>
      <c r="J28" s="50">
        <f>J$9+J$9*3/100*19</f>
        <v>3425.4260000000004</v>
      </c>
    </row>
    <row r="29" spans="1:10" ht="15" x14ac:dyDescent="0.2">
      <c r="A29" s="101" t="s">
        <v>76</v>
      </c>
      <c r="B29" s="50">
        <v>1067.51</v>
      </c>
      <c r="C29" s="52">
        <v>1314.67</v>
      </c>
      <c r="D29" s="50">
        <v>1439.25</v>
      </c>
      <c r="E29" s="52">
        <v>1563.33</v>
      </c>
      <c r="F29" s="50">
        <v>1759.25</v>
      </c>
      <c r="G29" s="52">
        <v>1999.88</v>
      </c>
      <c r="H29" s="50">
        <v>2371.12</v>
      </c>
      <c r="I29" s="52">
        <v>2844.85</v>
      </c>
      <c r="J29" s="50">
        <f>J$9+J$9*3/100*20</f>
        <v>3490.88</v>
      </c>
    </row>
    <row r="30" spans="1:10" ht="15" x14ac:dyDescent="0.2">
      <c r="A30" s="101" t="s">
        <v>77</v>
      </c>
      <c r="B30" s="50">
        <v>1087.53</v>
      </c>
      <c r="C30" s="52">
        <v>1339.32</v>
      </c>
      <c r="D30" s="50">
        <v>1466.24</v>
      </c>
      <c r="E30" s="52">
        <v>1592.65</v>
      </c>
      <c r="F30" s="50">
        <v>1792.24</v>
      </c>
      <c r="G30" s="52">
        <v>2037.38</v>
      </c>
      <c r="H30" s="50">
        <v>2415.58</v>
      </c>
      <c r="I30" s="52">
        <v>2898.19</v>
      </c>
      <c r="J30" s="50">
        <f>J$9+J$9*3/100*21</f>
        <v>3556.3340000000003</v>
      </c>
    </row>
    <row r="31" spans="1:10" ht="15" x14ac:dyDescent="0.2">
      <c r="A31" s="101" t="s">
        <v>78</v>
      </c>
      <c r="B31" s="50">
        <v>1107.54</v>
      </c>
      <c r="C31" s="52">
        <v>1363.97</v>
      </c>
      <c r="D31" s="50">
        <v>1493.22</v>
      </c>
      <c r="E31" s="52">
        <v>1621.96</v>
      </c>
      <c r="F31" s="50">
        <v>1825.23</v>
      </c>
      <c r="G31" s="52">
        <v>2074.88</v>
      </c>
      <c r="H31" s="50">
        <f>H$9+H$9*3/100*22</f>
        <v>2460.0370000000003</v>
      </c>
      <c r="I31" s="52">
        <v>2951.53</v>
      </c>
      <c r="J31" s="50">
        <f>J$9+J$9*3/100*22</f>
        <v>3621.7880000000005</v>
      </c>
    </row>
    <row r="32" spans="1:10" ht="15" x14ac:dyDescent="0.2">
      <c r="A32" s="101" t="s">
        <v>79</v>
      </c>
      <c r="B32" s="50">
        <v>1127.56</v>
      </c>
      <c r="C32" s="52">
        <v>1388.62</v>
      </c>
      <c r="D32" s="50">
        <v>1520.21</v>
      </c>
      <c r="E32" s="52">
        <v>1651.27</v>
      </c>
      <c r="F32" s="50">
        <v>1858.21</v>
      </c>
      <c r="G32" s="52">
        <v>1221.3800000000001</v>
      </c>
      <c r="H32" s="50">
        <v>2504.5</v>
      </c>
      <c r="I32" s="52">
        <v>3004.87</v>
      </c>
      <c r="J32" s="50">
        <f>J$9+J$9*3/100*23</f>
        <v>3687.2420000000002</v>
      </c>
    </row>
    <row r="33" spans="1:10" ht="15" x14ac:dyDescent="0.2">
      <c r="A33" s="101" t="s">
        <v>80</v>
      </c>
      <c r="B33" s="50">
        <v>1147.57</v>
      </c>
      <c r="C33" s="52">
        <v>1413.27</v>
      </c>
      <c r="D33" s="50">
        <v>1547.2</v>
      </c>
      <c r="E33" s="52">
        <v>1680.58</v>
      </c>
      <c r="F33" s="50">
        <v>1891.2</v>
      </c>
      <c r="G33" s="52">
        <v>2149.87</v>
      </c>
      <c r="H33" s="50">
        <v>2548.96</v>
      </c>
      <c r="I33" s="52">
        <v>3058.21</v>
      </c>
      <c r="J33" s="50">
        <f>J$9+J$9*3/100*24</f>
        <v>3752.6960000000004</v>
      </c>
    </row>
    <row r="34" spans="1:10" ht="15" x14ac:dyDescent="0.2">
      <c r="A34" s="101" t="s">
        <v>81</v>
      </c>
      <c r="B34" s="50">
        <v>1167.5899999999999</v>
      </c>
      <c r="C34" s="52">
        <v>1437.92</v>
      </c>
      <c r="D34" s="50">
        <v>1574.18</v>
      </c>
      <c r="E34" s="52">
        <v>1709.9</v>
      </c>
      <c r="F34" s="50">
        <v>1924.18</v>
      </c>
      <c r="G34" s="52">
        <v>2187.37</v>
      </c>
      <c r="H34" s="50">
        <v>2593.42</v>
      </c>
      <c r="I34" s="52">
        <v>3111.55</v>
      </c>
      <c r="J34" s="50">
        <f>J$9+J$9*3/100*25</f>
        <v>3818.1500000000005</v>
      </c>
    </row>
  </sheetData>
  <printOptions horizontalCentered="1" verticalCentered="1"/>
  <pageMargins left="0.78749999999999998" right="0.78749999999999998" top="0.78749999999999998" bottom="0.196527777777778" header="0.51180555555555496" footer="0.51180555555555496"/>
  <pageSetup paperSize="0" scale="0" firstPageNumber="0" orientation="portrait" usePrinterDefaults="0" horizontalDpi="0" verticalDpi="0" copies="0"/>
  <headerFooter>
    <oddHeader>&amp;C&amp;"Comic Sans MS,Fett"&amp;12Gehaltstabellen von 01.07.2003 bis 30.06.2004 / Tabelle stipendiali dal 01.07.2003 al 30.06.2004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zoomScaleNormal="100" workbookViewId="0">
      <selection activeCell="B11" sqref="B11"/>
    </sheetView>
  </sheetViews>
  <sheetFormatPr baseColWidth="10" defaultColWidth="9.140625" defaultRowHeight="12.75" x14ac:dyDescent="0.2"/>
  <cols>
    <col min="1" max="1" width="24.42578125"/>
    <col min="2" max="3" width="11.5703125"/>
    <col min="4" max="4" width="12.140625"/>
    <col min="5" max="10" width="11.5703125"/>
    <col min="11" max="256" width="11.28515625"/>
    <col min="257" max="1025" width="11.5703125"/>
  </cols>
  <sheetData>
    <row r="1" spans="1:256" ht="15.75" x14ac:dyDescent="0.25">
      <c r="A1" s="77"/>
      <c r="B1" s="9" t="s">
        <v>44</v>
      </c>
      <c r="C1" s="40" t="s">
        <v>45</v>
      </c>
      <c r="D1" s="9" t="s">
        <v>46</v>
      </c>
      <c r="E1" s="40" t="s">
        <v>47</v>
      </c>
      <c r="F1" s="9" t="s">
        <v>48</v>
      </c>
      <c r="G1" s="40" t="s">
        <v>49</v>
      </c>
      <c r="H1" s="9" t="s">
        <v>50</v>
      </c>
      <c r="I1" s="40" t="s">
        <v>51</v>
      </c>
      <c r="J1" s="9" t="s">
        <v>52</v>
      </c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</row>
    <row r="2" spans="1:256" ht="15" x14ac:dyDescent="0.2">
      <c r="A2" s="81" t="s">
        <v>10</v>
      </c>
      <c r="B2" s="81"/>
      <c r="C2" s="69"/>
      <c r="D2" s="81"/>
      <c r="E2" s="69"/>
      <c r="F2" s="81"/>
      <c r="G2" s="69"/>
      <c r="H2" s="81"/>
      <c r="I2" s="69"/>
      <c r="J2" s="81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</row>
    <row r="3" spans="1:256" ht="15.75" x14ac:dyDescent="0.25">
      <c r="A3" s="100" t="s">
        <v>11</v>
      </c>
      <c r="B3" s="47">
        <v>541.23</v>
      </c>
      <c r="C3" s="49">
        <v>652.66999999999996</v>
      </c>
      <c r="D3" s="47">
        <v>709.19</v>
      </c>
      <c r="E3" s="49">
        <v>765.71</v>
      </c>
      <c r="F3" s="47">
        <v>861.82</v>
      </c>
      <c r="G3" s="49">
        <v>961.76</v>
      </c>
      <c r="H3" s="47">
        <v>1140.58</v>
      </c>
      <c r="I3" s="49">
        <v>1393.15</v>
      </c>
      <c r="J3" s="47">
        <v>1664.57</v>
      </c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</row>
    <row r="4" spans="1:256" ht="15" x14ac:dyDescent="0.2">
      <c r="A4" s="101" t="s">
        <v>53</v>
      </c>
      <c r="B4" s="50">
        <f t="shared" ref="B4:J4" si="0">B$3+B$3*6/100</f>
        <v>573.7038</v>
      </c>
      <c r="C4" s="52">
        <f t="shared" si="0"/>
        <v>691.83019999999999</v>
      </c>
      <c r="D4" s="50">
        <f t="shared" si="0"/>
        <v>751.74140000000011</v>
      </c>
      <c r="E4" s="52">
        <f t="shared" si="0"/>
        <v>811.65260000000001</v>
      </c>
      <c r="F4" s="50">
        <f t="shared" si="0"/>
        <v>913.52920000000006</v>
      </c>
      <c r="G4" s="52">
        <f t="shared" si="0"/>
        <v>1019.4656</v>
      </c>
      <c r="H4" s="50">
        <f t="shared" si="0"/>
        <v>1209.0147999999999</v>
      </c>
      <c r="I4" s="52">
        <f t="shared" si="0"/>
        <v>1476.739</v>
      </c>
      <c r="J4" s="50">
        <f t="shared" si="0"/>
        <v>1764.4441999999999</v>
      </c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</row>
    <row r="5" spans="1:256" ht="15" x14ac:dyDescent="0.2">
      <c r="A5" s="101" t="s">
        <v>54</v>
      </c>
      <c r="B5" s="50">
        <f>B$3+B$3*6/100*2</f>
        <v>606.17759999999998</v>
      </c>
      <c r="C5" s="52">
        <f>C$3+C$3*6/100*2</f>
        <v>730.99039999999991</v>
      </c>
      <c r="D5" s="50">
        <f>D$3+D$3*6/100*2</f>
        <v>794.29280000000006</v>
      </c>
      <c r="E5" s="52">
        <v>857.59</v>
      </c>
      <c r="F5" s="50">
        <f>F$3+F$3*6/100*2</f>
        <v>965.23840000000007</v>
      </c>
      <c r="G5" s="52">
        <f>G$3+G$3*6/100*2</f>
        <v>1077.1712</v>
      </c>
      <c r="H5" s="50">
        <f>H$3+H$3*6/100*2</f>
        <v>1277.4495999999999</v>
      </c>
      <c r="I5" s="52">
        <f>I$3+I$3*6/100*2</f>
        <v>1560.3280000000002</v>
      </c>
      <c r="J5" s="50">
        <v>1864.31</v>
      </c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</row>
    <row r="6" spans="1:256" ht="15" x14ac:dyDescent="0.2">
      <c r="A6" s="101" t="s">
        <v>55</v>
      </c>
      <c r="B6" s="50">
        <f>B$3+B$3*6/100*3</f>
        <v>638.65139999999997</v>
      </c>
      <c r="C6" s="52">
        <f>C$3+C$3*6/100*3</f>
        <v>770.15059999999994</v>
      </c>
      <c r="D6" s="50">
        <f>D$3+D$3*6/100*3</f>
        <v>836.8442</v>
      </c>
      <c r="E6" s="52">
        <v>903.53</v>
      </c>
      <c r="F6" s="50">
        <f>F$3+F$3*6/100*3</f>
        <v>1016.9476000000001</v>
      </c>
      <c r="G6" s="52">
        <f>G$3+G$3*6/100*3</f>
        <v>1134.8768</v>
      </c>
      <c r="H6" s="50">
        <f>H$3+H$3*6/100*3</f>
        <v>1345.8843999999999</v>
      </c>
      <c r="I6" s="52">
        <f>I$3+I$3*6/100*3</f>
        <v>1643.9170000000001</v>
      </c>
      <c r="J6" s="50">
        <f>J$3+J$3*6/100*3</f>
        <v>1964.1925999999999</v>
      </c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</row>
    <row r="7" spans="1:256" ht="15" x14ac:dyDescent="0.2">
      <c r="A7" s="89"/>
      <c r="B7" s="89"/>
      <c r="C7" s="102"/>
      <c r="D7" s="89"/>
      <c r="E7" s="102"/>
      <c r="F7" s="89"/>
      <c r="G7" s="102"/>
      <c r="H7" s="89"/>
      <c r="I7" s="102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</row>
    <row r="8" spans="1:256" ht="15" x14ac:dyDescent="0.2">
      <c r="A8" s="83" t="s">
        <v>56</v>
      </c>
      <c r="B8" s="83"/>
      <c r="C8" s="103"/>
      <c r="D8" s="83"/>
      <c r="E8" s="103"/>
      <c r="F8" s="83"/>
      <c r="G8" s="103"/>
      <c r="H8" s="83"/>
      <c r="I8" s="10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  <c r="IV8" s="83"/>
    </row>
    <row r="9" spans="1:256" ht="15.75" x14ac:dyDescent="0.25">
      <c r="A9" s="100" t="s">
        <v>11</v>
      </c>
      <c r="B9" s="47">
        <v>678.54</v>
      </c>
      <c r="C9" s="49">
        <v>835.64</v>
      </c>
      <c r="D9" s="47">
        <v>914.82</v>
      </c>
      <c r="E9" s="49">
        <v>993.69</v>
      </c>
      <c r="F9" s="47">
        <v>1118.23</v>
      </c>
      <c r="G9" s="49">
        <v>1271.18</v>
      </c>
      <c r="H9" s="47">
        <v>1507.15</v>
      </c>
      <c r="I9" s="49">
        <v>1808.26</v>
      </c>
      <c r="J9" s="47">
        <v>2218.89</v>
      </c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</row>
    <row r="10" spans="1:256" ht="15" x14ac:dyDescent="0.2">
      <c r="A10" s="101" t="s">
        <v>57</v>
      </c>
      <c r="B10" s="50">
        <v>698.89</v>
      </c>
      <c r="C10" s="52">
        <v>860.7</v>
      </c>
      <c r="D10" s="50">
        <v>942.27</v>
      </c>
      <c r="E10" s="52">
        <f>E$9+E$9*3/100*1</f>
        <v>1023.5007000000001</v>
      </c>
      <c r="F10" s="50">
        <v>1151.77</v>
      </c>
      <c r="G10" s="52">
        <v>1309.31</v>
      </c>
      <c r="H10" s="50">
        <f>H$9+H$9*3/100*1</f>
        <v>1552.3645000000001</v>
      </c>
      <c r="I10" s="52">
        <v>1862.5</v>
      </c>
      <c r="J10" s="50">
        <v>2285.4499999999998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</row>
    <row r="11" spans="1:256" ht="15" x14ac:dyDescent="0.2">
      <c r="A11" s="101" t="s">
        <v>58</v>
      </c>
      <c r="B11" s="50">
        <f>B$9+B$9*3/100*2</f>
        <v>719.25239999999997</v>
      </c>
      <c r="C11" s="52">
        <v>885.77</v>
      </c>
      <c r="D11" s="50">
        <v>969.71</v>
      </c>
      <c r="E11" s="52">
        <v>1053.32</v>
      </c>
      <c r="F11" s="50">
        <v>1185.32</v>
      </c>
      <c r="G11" s="52">
        <f>G$9+G$9*3/100*2</f>
        <v>1347.4508000000001</v>
      </c>
      <c r="H11" s="50">
        <v>1597.57</v>
      </c>
      <c r="I11" s="52">
        <v>1916.75</v>
      </c>
      <c r="J11" s="50">
        <f>J$9+J$9*3/100*2</f>
        <v>2352.0234</v>
      </c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  <c r="IV11" s="89"/>
    </row>
    <row r="12" spans="1:256" ht="15" x14ac:dyDescent="0.2">
      <c r="A12" s="101" t="s">
        <v>59</v>
      </c>
      <c r="B12" s="50">
        <v>739.6</v>
      </c>
      <c r="C12" s="52">
        <v>910.84</v>
      </c>
      <c r="D12" s="50">
        <v>997.16</v>
      </c>
      <c r="E12" s="52">
        <v>1083.1300000000001</v>
      </c>
      <c r="F12" s="50">
        <f>F$9+F$9*3/100*3</f>
        <v>1218.8706999999999</v>
      </c>
      <c r="G12" s="52">
        <v>1385.58</v>
      </c>
      <c r="H12" s="50">
        <f>H$9+H$9*3/100*3</f>
        <v>1642.7935000000002</v>
      </c>
      <c r="I12" s="52">
        <f>I$9+I$9*3/100*3</f>
        <v>1971.0034000000001</v>
      </c>
      <c r="J12" s="50">
        <f>J$9+J$9*3/100*3</f>
        <v>2418.5900999999999</v>
      </c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  <c r="IV12" s="89"/>
    </row>
    <row r="13" spans="1:256" ht="15" x14ac:dyDescent="0.2">
      <c r="A13" s="101" t="s">
        <v>60</v>
      </c>
      <c r="B13" s="50">
        <f>B$9+B$9*3/100*4</f>
        <v>759.96479999999997</v>
      </c>
      <c r="C13" s="52">
        <v>935.91</v>
      </c>
      <c r="D13" s="50">
        <f>D$9+D$9*3/100*4</f>
        <v>1024.5984000000001</v>
      </c>
      <c r="E13" s="52">
        <v>1112.94</v>
      </c>
      <c r="F13" s="50">
        <v>1252.4100000000001</v>
      </c>
      <c r="G13" s="52">
        <f>G$9+G$9*3/100*4</f>
        <v>1423.7216000000001</v>
      </c>
      <c r="H13" s="50">
        <v>1688</v>
      </c>
      <c r="I13" s="52">
        <f>I$9+I$9*3/100*4</f>
        <v>2025.2511999999999</v>
      </c>
      <c r="J13" s="50">
        <v>2485.15</v>
      </c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  <c r="IV13" s="89"/>
    </row>
    <row r="14" spans="1:256" ht="15" x14ac:dyDescent="0.2">
      <c r="A14" s="101" t="s">
        <v>61</v>
      </c>
      <c r="B14" s="50">
        <f>B$9+B$9*3/100*5</f>
        <v>780.32099999999991</v>
      </c>
      <c r="C14" s="52">
        <v>960.98</v>
      </c>
      <c r="D14" s="50">
        <v>1052.05</v>
      </c>
      <c r="E14" s="52">
        <v>1142.75</v>
      </c>
      <c r="F14" s="50">
        <f>F$9+F$9*3/100*5</f>
        <v>1285.9645</v>
      </c>
      <c r="G14" s="52">
        <v>1461.85</v>
      </c>
      <c r="H14" s="50">
        <f>H$9+H$9*3/100*5</f>
        <v>1733.2225000000001</v>
      </c>
      <c r="I14" s="52">
        <v>2079.4899999999998</v>
      </c>
      <c r="J14" s="50">
        <f>J$9+J$9*3/100*5</f>
        <v>2551.7235000000001</v>
      </c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  <c r="IV14" s="89"/>
    </row>
    <row r="15" spans="1:256" ht="15" x14ac:dyDescent="0.2">
      <c r="A15" s="101" t="s">
        <v>62</v>
      </c>
      <c r="B15" s="50">
        <v>800.67</v>
      </c>
      <c r="C15" s="52">
        <v>986.05</v>
      </c>
      <c r="D15" s="50">
        <f>D$9+D$9*3/100*6</f>
        <v>1079.4875999999999</v>
      </c>
      <c r="E15" s="52">
        <v>1172.56</v>
      </c>
      <c r="F15" s="50">
        <f>F$9+F$9*3/100*6</f>
        <v>1319.5114000000001</v>
      </c>
      <c r="G15" s="52">
        <f>G$9+G$9*3/100*6</f>
        <v>1499.9924000000001</v>
      </c>
      <c r="H15" s="50">
        <v>1778.43</v>
      </c>
      <c r="I15" s="52">
        <v>2133.7399999999998</v>
      </c>
      <c r="J15" s="50">
        <f>J$9+J$9*3/100*6</f>
        <v>2618.2901999999999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</row>
    <row r="16" spans="1:256" ht="15" x14ac:dyDescent="0.2">
      <c r="A16" s="101" t="s">
        <v>63</v>
      </c>
      <c r="B16" s="50">
        <f>B$9+B$9*3/100*7</f>
        <v>821.03339999999992</v>
      </c>
      <c r="C16" s="52">
        <f>C$9+C$9*3/100*7</f>
        <v>1011.1244</v>
      </c>
      <c r="D16" s="50">
        <v>1106.94</v>
      </c>
      <c r="E16" s="52">
        <v>1202.3699999999999</v>
      </c>
      <c r="F16" s="50">
        <v>1353.05</v>
      </c>
      <c r="G16" s="52">
        <v>1538.12</v>
      </c>
      <c r="H16" s="50">
        <f>H$9+H$9*3/100*7</f>
        <v>1823.6515000000002</v>
      </c>
      <c r="I16" s="52">
        <f>I$9+I$9*3/100*7</f>
        <v>2187.9946</v>
      </c>
      <c r="J16" s="50">
        <v>2684.85</v>
      </c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89"/>
      <c r="IV16" s="89"/>
    </row>
    <row r="17" spans="1:256" ht="15" x14ac:dyDescent="0.2">
      <c r="A17" s="101" t="s">
        <v>64</v>
      </c>
      <c r="B17" s="50">
        <v>841.38</v>
      </c>
      <c r="C17" s="52">
        <f>C$9+C$9*3/100*8</f>
        <v>1036.1936000000001</v>
      </c>
      <c r="D17" s="50">
        <f>D$9+D$9*3/100*8</f>
        <v>1134.3768</v>
      </c>
      <c r="E17" s="52">
        <f>E$9+E$9*3/100*8</f>
        <v>1232.1756</v>
      </c>
      <c r="F17" s="50">
        <v>1386.6</v>
      </c>
      <c r="G17" s="52">
        <f>G$9+G$9*3/100*8</f>
        <v>1576.2632000000001</v>
      </c>
      <c r="H17" s="50">
        <v>1868.86</v>
      </c>
      <c r="I17" s="52">
        <f>I$9+I$9*3/100*8</f>
        <v>2242.2424000000001</v>
      </c>
      <c r="J17" s="50">
        <f>J$9+J$9*3/100*8</f>
        <v>2751.4236000000001</v>
      </c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</row>
    <row r="18" spans="1:256" ht="15" x14ac:dyDescent="0.2">
      <c r="A18" s="101" t="s">
        <v>65</v>
      </c>
      <c r="B18" s="50">
        <v>861.74</v>
      </c>
      <c r="C18" s="52">
        <f>C$9+C$9*3/100*9</f>
        <v>1061.2628</v>
      </c>
      <c r="D18" s="50">
        <v>1161.83</v>
      </c>
      <c r="E18" s="52">
        <f>E$9+E$9*3/100*9</f>
        <v>1261.9863</v>
      </c>
      <c r="F18" s="50">
        <v>1420.15</v>
      </c>
      <c r="G18" s="52">
        <v>1614.39</v>
      </c>
      <c r="H18" s="50">
        <v>1914.07</v>
      </c>
      <c r="I18" s="52">
        <v>2296.48</v>
      </c>
      <c r="J18" s="50">
        <f>J$9+J$9*3/100*9</f>
        <v>2817.9902999999999</v>
      </c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  <c r="IV18" s="89"/>
    </row>
    <row r="19" spans="1:256" ht="15" x14ac:dyDescent="0.2">
      <c r="A19" s="101" t="s">
        <v>66</v>
      </c>
      <c r="B19" s="50">
        <v>882.1</v>
      </c>
      <c r="C19" s="52">
        <f>C$9+C$9*3/100*10</f>
        <v>1086.3319999999999</v>
      </c>
      <c r="D19" s="50">
        <f>D$9+D$9*3/100*10</f>
        <v>1189.2660000000001</v>
      </c>
      <c r="E19" s="52">
        <f>E$9+E$9*3/100*10</f>
        <v>1291.797</v>
      </c>
      <c r="F19" s="50">
        <v>1453.69</v>
      </c>
      <c r="G19" s="52">
        <f>G$9+G$9*3/100*10</f>
        <v>1652.5340000000001</v>
      </c>
      <c r="H19" s="50">
        <v>1959.29</v>
      </c>
      <c r="I19" s="52">
        <v>2350.73</v>
      </c>
      <c r="J19" s="50">
        <v>2884.55</v>
      </c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  <c r="IV19" s="89"/>
    </row>
    <row r="20" spans="1:256" ht="15" x14ac:dyDescent="0.2">
      <c r="A20" s="101" t="s">
        <v>67</v>
      </c>
      <c r="B20" s="50">
        <v>902.45</v>
      </c>
      <c r="C20" s="52">
        <v>1111.3900000000001</v>
      </c>
      <c r="D20" s="50">
        <v>1216.72</v>
      </c>
      <c r="E20" s="52">
        <f>E$9+E$9*3/100*11</f>
        <v>1321.6077</v>
      </c>
      <c r="F20" s="50">
        <v>1487.24</v>
      </c>
      <c r="G20" s="52">
        <v>1690.66</v>
      </c>
      <c r="H20" s="50">
        <v>2004.5</v>
      </c>
      <c r="I20" s="52">
        <v>2404.98</v>
      </c>
      <c r="J20" s="50">
        <f>J$9+J$9*3/100*11</f>
        <v>2951.1237000000001</v>
      </c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  <c r="IV20" s="89"/>
    </row>
    <row r="21" spans="1:256" ht="15" x14ac:dyDescent="0.2">
      <c r="A21" s="101" t="s">
        <v>68</v>
      </c>
      <c r="B21" s="50">
        <f>B$9+B$9*3/100*12</f>
        <v>922.81439999999998</v>
      </c>
      <c r="C21" s="52">
        <v>1136.46</v>
      </c>
      <c r="D21" s="50">
        <f t="shared" ref="D21:J21" si="1">D$9+D$9*3/100*12</f>
        <v>1244.1552000000001</v>
      </c>
      <c r="E21" s="52">
        <f t="shared" si="1"/>
        <v>1351.4184</v>
      </c>
      <c r="F21" s="50">
        <f t="shared" si="1"/>
        <v>1520.7928000000002</v>
      </c>
      <c r="G21" s="52">
        <f t="shared" si="1"/>
        <v>1728.8047999999999</v>
      </c>
      <c r="H21" s="50">
        <f t="shared" si="1"/>
        <v>2049.7240000000002</v>
      </c>
      <c r="I21" s="52">
        <f t="shared" si="1"/>
        <v>2459.2336</v>
      </c>
      <c r="J21" s="50">
        <f t="shared" si="1"/>
        <v>3017.6904</v>
      </c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  <c r="IV21" s="89"/>
    </row>
    <row r="22" spans="1:256" ht="15" x14ac:dyDescent="0.2">
      <c r="A22" s="101" t="s">
        <v>69</v>
      </c>
      <c r="B22" s="50">
        <v>943.16</v>
      </c>
      <c r="C22" s="52">
        <v>1161.53</v>
      </c>
      <c r="D22" s="50">
        <v>1271.6099999999999</v>
      </c>
      <c r="E22" s="52">
        <f>E$9+E$9*3/100*13</f>
        <v>1381.2291</v>
      </c>
      <c r="F22" s="50">
        <v>1554.33</v>
      </c>
      <c r="G22" s="52">
        <v>1766.93</v>
      </c>
      <c r="H22" s="50">
        <v>2094.9299999999998</v>
      </c>
      <c r="I22" s="52">
        <v>2513.4699999999998</v>
      </c>
      <c r="J22" s="50">
        <v>3084.25</v>
      </c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  <c r="IV22" s="89"/>
    </row>
    <row r="23" spans="1:256" ht="15" x14ac:dyDescent="0.2">
      <c r="A23" s="101" t="s">
        <v>70</v>
      </c>
      <c r="B23" s="50">
        <v>963.52</v>
      </c>
      <c r="C23" s="52">
        <v>1186.5999999999999</v>
      </c>
      <c r="D23" s="50">
        <v>1299.05</v>
      </c>
      <c r="E23" s="52">
        <v>1411.05</v>
      </c>
      <c r="F23" s="50">
        <v>1587.88</v>
      </c>
      <c r="G23" s="52">
        <v>1805.07</v>
      </c>
      <c r="H23" s="50">
        <f>H$9+H$9*3/100*14</f>
        <v>2140.1530000000002</v>
      </c>
      <c r="I23" s="52">
        <v>2567.7199999999998</v>
      </c>
      <c r="J23" s="50">
        <f>J$9+J$9*3/100*14</f>
        <v>3150.8238000000001</v>
      </c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  <c r="IR23" s="89"/>
      <c r="IS23" s="89"/>
      <c r="IT23" s="89"/>
      <c r="IU23" s="89"/>
      <c r="IV23" s="89"/>
    </row>
    <row r="24" spans="1:256" ht="15" x14ac:dyDescent="0.2">
      <c r="A24" s="101" t="s">
        <v>71</v>
      </c>
      <c r="B24" s="50">
        <f>B$9+B$9*3/100*15</f>
        <v>983.88299999999992</v>
      </c>
      <c r="C24" s="52">
        <v>1211.67</v>
      </c>
      <c r="D24" s="50">
        <v>1326.5</v>
      </c>
      <c r="E24" s="52">
        <v>1440.86</v>
      </c>
      <c r="F24" s="50">
        <f>F$9+F$9*3/100*15</f>
        <v>1621.4335000000001</v>
      </c>
      <c r="G24" s="52">
        <v>1843.2</v>
      </c>
      <c r="H24" s="50">
        <v>2185.36</v>
      </c>
      <c r="I24" s="52">
        <v>2621.97</v>
      </c>
      <c r="J24" s="50">
        <f>J$9+J$9*3/100*15</f>
        <v>3217.3905</v>
      </c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  <c r="IR24" s="89"/>
      <c r="IS24" s="89"/>
      <c r="IT24" s="89"/>
      <c r="IU24" s="89"/>
      <c r="IV24" s="89"/>
    </row>
    <row r="25" spans="1:256" ht="15" x14ac:dyDescent="0.2">
      <c r="A25" s="101" t="s">
        <v>72</v>
      </c>
      <c r="B25" s="50">
        <v>1004.23</v>
      </c>
      <c r="C25" s="52">
        <v>1236.74</v>
      </c>
      <c r="D25" s="50">
        <v>1353.94</v>
      </c>
      <c r="E25" s="52">
        <v>1470.67</v>
      </c>
      <c r="F25" s="50">
        <v>1654.97</v>
      </c>
      <c r="G25" s="52">
        <v>1881.34</v>
      </c>
      <c r="H25" s="50">
        <v>2230.5700000000002</v>
      </c>
      <c r="I25" s="52">
        <f>I$9+I$9*3/100*16</f>
        <v>2676.2248</v>
      </c>
      <c r="J25" s="50">
        <v>3283.95</v>
      </c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  <c r="IR25" s="89"/>
      <c r="IS25" s="89"/>
      <c r="IT25" s="89"/>
      <c r="IU25" s="89"/>
      <c r="IV25" s="89"/>
    </row>
    <row r="26" spans="1:256" ht="15" x14ac:dyDescent="0.2">
      <c r="A26" s="101" t="s">
        <v>73</v>
      </c>
      <c r="B26" s="50">
        <v>1024.5899999999999</v>
      </c>
      <c r="C26" s="52">
        <v>1261.81</v>
      </c>
      <c r="D26" s="50">
        <f>D$9+D$9*3/100*17</f>
        <v>1381.3782000000001</v>
      </c>
      <c r="E26" s="52">
        <v>1500.48</v>
      </c>
      <c r="F26" s="50">
        <v>1688.52</v>
      </c>
      <c r="G26" s="52">
        <v>1919.47</v>
      </c>
      <c r="H26" s="50">
        <v>2275.79</v>
      </c>
      <c r="I26" s="52">
        <f>I$9+I$9*3/100*17</f>
        <v>2730.4726000000001</v>
      </c>
      <c r="J26" s="50">
        <f>J$9+J$9*3/100*17</f>
        <v>3350.5239000000001</v>
      </c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  <c r="IR26" s="89"/>
      <c r="IS26" s="89"/>
      <c r="IT26" s="89"/>
      <c r="IU26" s="89"/>
      <c r="IV26" s="89"/>
    </row>
    <row r="27" spans="1:256" ht="15" x14ac:dyDescent="0.2">
      <c r="A27" s="101" t="s">
        <v>74</v>
      </c>
      <c r="B27" s="50">
        <v>1044.94</v>
      </c>
      <c r="C27" s="52">
        <v>1286.8800000000001</v>
      </c>
      <c r="D27" s="50">
        <v>1408.83</v>
      </c>
      <c r="E27" s="52">
        <v>1530.29</v>
      </c>
      <c r="F27" s="50">
        <f>F$9+F$9*3/100*18</f>
        <v>1722.0742</v>
      </c>
      <c r="G27" s="52">
        <v>1957.61</v>
      </c>
      <c r="H27" s="50">
        <v>2321</v>
      </c>
      <c r="I27" s="52">
        <v>2784.71</v>
      </c>
      <c r="J27" s="50">
        <f>J$9+J$9*3/100*18</f>
        <v>3417.0905999999995</v>
      </c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  <c r="IR27" s="89"/>
      <c r="IS27" s="89"/>
      <c r="IT27" s="89"/>
      <c r="IU27" s="89"/>
      <c r="IV27" s="89"/>
    </row>
    <row r="28" spans="1:256" ht="15" x14ac:dyDescent="0.2">
      <c r="A28" s="101" t="s">
        <v>75</v>
      </c>
      <c r="B28" s="50">
        <v>1065.3</v>
      </c>
      <c r="C28" s="52">
        <v>1311.95</v>
      </c>
      <c r="D28" s="50">
        <f>D$9+D$9*3/100*19</f>
        <v>1436.2674000000002</v>
      </c>
      <c r="E28" s="52">
        <v>1560.1</v>
      </c>
      <c r="F28" s="50">
        <v>1755.61</v>
      </c>
      <c r="G28" s="52">
        <v>1995.74</v>
      </c>
      <c r="H28" s="50">
        <v>2366.2199999999998</v>
      </c>
      <c r="I28" s="52">
        <v>2838.96</v>
      </c>
      <c r="J28" s="50">
        <v>3483.65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89"/>
      <c r="IQ28" s="89"/>
      <c r="IR28" s="89"/>
      <c r="IS28" s="89"/>
      <c r="IT28" s="89"/>
      <c r="IU28" s="89"/>
      <c r="IV28" s="89"/>
    </row>
    <row r="29" spans="1:256" ht="15" x14ac:dyDescent="0.2">
      <c r="A29" s="101" t="s">
        <v>76</v>
      </c>
      <c r="B29" s="50">
        <v>1085.6600000000001</v>
      </c>
      <c r="C29" s="52">
        <f>C$9+C$9*3/100*20</f>
        <v>1337.0239999999999</v>
      </c>
      <c r="D29" s="50">
        <v>1463.72</v>
      </c>
      <c r="E29" s="52">
        <v>1589.91</v>
      </c>
      <c r="F29" s="50">
        <v>1789.16</v>
      </c>
      <c r="G29" s="52">
        <v>2033.88</v>
      </c>
      <c r="H29" s="50">
        <v>2411.4299999999998</v>
      </c>
      <c r="I29" s="52">
        <v>2893.21</v>
      </c>
      <c r="J29" s="50">
        <v>3550.22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89"/>
      <c r="IT29" s="89"/>
      <c r="IU29" s="89"/>
      <c r="IV29" s="89"/>
    </row>
    <row r="30" spans="1:256" ht="15" x14ac:dyDescent="0.2">
      <c r="A30" s="101" t="s">
        <v>77</v>
      </c>
      <c r="B30" s="50">
        <v>1106.01</v>
      </c>
      <c r="C30" s="52">
        <f>C$9+C$9*3/100*21</f>
        <v>1362.0932</v>
      </c>
      <c r="D30" s="50">
        <f>D$9+D$9*3/100*21</f>
        <v>1491.1566</v>
      </c>
      <c r="E30" s="52">
        <v>1619.72</v>
      </c>
      <c r="F30" s="50">
        <f>F$9+F$9*3/100*21</f>
        <v>1822.7148999999999</v>
      </c>
      <c r="G30" s="52">
        <f>G$9+G$9*3/100*21</f>
        <v>2072.0234</v>
      </c>
      <c r="H30" s="50">
        <f>H$9+H$9*3/100*21</f>
        <v>2456.6545000000001</v>
      </c>
      <c r="I30" s="52">
        <f>I$9+I$9*3/100*21</f>
        <v>2947.4638</v>
      </c>
      <c r="J30" s="50">
        <f>J$9+J$9*3/100*21</f>
        <v>3616.7906999999996</v>
      </c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89"/>
      <c r="IS30" s="89"/>
      <c r="IT30" s="89"/>
      <c r="IU30" s="89"/>
      <c r="IV30" s="89"/>
    </row>
    <row r="31" spans="1:256" ht="15" x14ac:dyDescent="0.2">
      <c r="A31" s="101" t="s">
        <v>78</v>
      </c>
      <c r="B31" s="50">
        <v>1126.3699999999999</v>
      </c>
      <c r="C31" s="52">
        <v>1387.15</v>
      </c>
      <c r="D31" s="50">
        <v>1518.61</v>
      </c>
      <c r="E31" s="52">
        <f>E$9+E$9*3/100*22</f>
        <v>1649.5254</v>
      </c>
      <c r="F31" s="50">
        <v>1856.25</v>
      </c>
      <c r="G31" s="52">
        <v>2110.15</v>
      </c>
      <c r="H31" s="50">
        <v>2501.86</v>
      </c>
      <c r="I31" s="52">
        <v>3001.7</v>
      </c>
      <c r="J31" s="50">
        <v>3683.35</v>
      </c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  <c r="IT31" s="89"/>
      <c r="IU31" s="89"/>
      <c r="IV31" s="89"/>
    </row>
    <row r="32" spans="1:256" ht="15" x14ac:dyDescent="0.2">
      <c r="A32" s="101" t="s">
        <v>79</v>
      </c>
      <c r="B32" s="50">
        <v>1146.72</v>
      </c>
      <c r="C32" s="52">
        <v>1412.22</v>
      </c>
      <c r="D32" s="50">
        <v>1546.05</v>
      </c>
      <c r="E32" s="52">
        <f>E$9+E$9*3/100*23</f>
        <v>1679.3361</v>
      </c>
      <c r="F32" s="50">
        <v>1889.8</v>
      </c>
      <c r="G32" s="52">
        <f>G$9+G$9*3/100*23</f>
        <v>2148.2942000000003</v>
      </c>
      <c r="H32" s="50">
        <f>H$9+H$9*3/100*23</f>
        <v>2547.0835000000002</v>
      </c>
      <c r="I32" s="52">
        <v>3055.95</v>
      </c>
      <c r="J32" s="50">
        <f>J$9+J$9*3/100*23</f>
        <v>3749.9240999999997</v>
      </c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  <c r="IV32" s="89"/>
    </row>
    <row r="33" spans="1:256" ht="15" x14ac:dyDescent="0.2">
      <c r="A33" s="101" t="s">
        <v>80</v>
      </c>
      <c r="B33" s="50">
        <v>1167.08</v>
      </c>
      <c r="C33" s="52">
        <v>1437.29</v>
      </c>
      <c r="D33" s="50">
        <v>1573.5</v>
      </c>
      <c r="E33" s="52">
        <f>E$9+E$9*3/100*24</f>
        <v>1709.1468</v>
      </c>
      <c r="F33" s="50">
        <v>1923.35</v>
      </c>
      <c r="G33" s="52">
        <v>2186.42</v>
      </c>
      <c r="H33" s="50">
        <v>2592.29</v>
      </c>
      <c r="I33" s="52">
        <v>3110.2</v>
      </c>
      <c r="J33" s="50">
        <f>J$9+J$9*3/100*24</f>
        <v>3816.4907999999996</v>
      </c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89"/>
      <c r="IQ33" s="89"/>
      <c r="IR33" s="89"/>
      <c r="IS33" s="89"/>
      <c r="IT33" s="89"/>
      <c r="IU33" s="89"/>
      <c r="IV33" s="89"/>
    </row>
    <row r="34" spans="1:256" ht="15" x14ac:dyDescent="0.2">
      <c r="A34" s="101" t="s">
        <v>81</v>
      </c>
      <c r="B34" s="50">
        <v>1187.44</v>
      </c>
      <c r="C34" s="52">
        <v>1462.36</v>
      </c>
      <c r="D34" s="50">
        <f>D$9+D$9*3/100*25</f>
        <v>1600.9349999999999</v>
      </c>
      <c r="E34" s="52">
        <f>E$9+E$9*3/100*25</f>
        <v>1738.9575</v>
      </c>
      <c r="F34" s="50">
        <v>1956.89</v>
      </c>
      <c r="G34" s="52">
        <v>2224.56</v>
      </c>
      <c r="H34" s="50">
        <v>2637.5</v>
      </c>
      <c r="I34" s="52">
        <v>3164.45</v>
      </c>
      <c r="J34" s="50">
        <v>3883.05</v>
      </c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  <c r="IV34" s="89"/>
    </row>
  </sheetData>
  <printOptions horizontalCentered="1" verticalCentered="1"/>
  <pageMargins left="0.78749999999999998" right="0.78749999999999998" top="0.78749999999999998" bottom="0.196527777777778" header="0.51180555555555496" footer="0.51180555555555496"/>
  <pageSetup paperSize="0" scale="0" firstPageNumber="0" orientation="portrait" usePrinterDefaults="0" horizontalDpi="0" verticalDpi="0" copies="0"/>
  <headerFooter>
    <oddHeader>&amp;C&amp;"Comic Sans MS,Fett"&amp;12Gehaltstabellen von  01.07.2004 bis 30.06.2005 / Tabelle stipendiali dal 01.07.2004 fino 30.06.2005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zoomScaleNormal="100" workbookViewId="0">
      <selection activeCell="K37" sqref="K37"/>
    </sheetView>
  </sheetViews>
  <sheetFormatPr baseColWidth="10" defaultColWidth="9.140625" defaultRowHeight="12.75" x14ac:dyDescent="0.2"/>
  <cols>
    <col min="1" max="1" width="33.5703125"/>
    <col min="2" max="2" width="0" hidden="1"/>
    <col min="3" max="3" width="11.5703125"/>
    <col min="4" max="4" width="0" hidden="1"/>
    <col min="5" max="5" width="11.5703125"/>
    <col min="6" max="6" width="0" hidden="1"/>
    <col min="7" max="7" width="11.5703125"/>
    <col min="8" max="8" width="0" hidden="1"/>
    <col min="9" max="9" width="11.5703125"/>
    <col min="10" max="10" width="0" hidden="1"/>
    <col min="11" max="11" width="11.5703125"/>
    <col min="12" max="12" width="0" hidden="1"/>
    <col min="13" max="13" width="11.5703125"/>
    <col min="14" max="14" width="0" hidden="1"/>
    <col min="15" max="15" width="11.5703125"/>
    <col min="16" max="16" width="0" hidden="1"/>
    <col min="17" max="17" width="11.5703125"/>
    <col min="18" max="18" width="0" hidden="1"/>
    <col min="19" max="19" width="11.5703125"/>
    <col min="20" max="256" width="11.28515625"/>
    <col min="257" max="1025" width="11.5703125"/>
  </cols>
  <sheetData>
    <row r="1" spans="1:256" ht="15.75" customHeight="1" x14ac:dyDescent="0.25">
      <c r="A1" s="39"/>
      <c r="B1" s="9" t="s">
        <v>44</v>
      </c>
      <c r="C1" s="9" t="s">
        <v>44</v>
      </c>
      <c r="D1" s="8" t="s">
        <v>45</v>
      </c>
      <c r="E1" s="8" t="s">
        <v>45</v>
      </c>
      <c r="F1" s="9" t="s">
        <v>46</v>
      </c>
      <c r="G1" s="9" t="s">
        <v>46</v>
      </c>
      <c r="H1" s="8" t="s">
        <v>47</v>
      </c>
      <c r="I1" s="8" t="s">
        <v>47</v>
      </c>
      <c r="J1" s="9" t="s">
        <v>48</v>
      </c>
      <c r="K1" s="9" t="s">
        <v>48</v>
      </c>
      <c r="L1" s="8" t="s">
        <v>49</v>
      </c>
      <c r="M1" s="8" t="s">
        <v>49</v>
      </c>
      <c r="N1" s="9" t="s">
        <v>50</v>
      </c>
      <c r="O1" s="9" t="s">
        <v>50</v>
      </c>
      <c r="P1" s="8" t="s">
        <v>51</v>
      </c>
      <c r="Q1" s="8" t="s">
        <v>51</v>
      </c>
      <c r="R1" s="9" t="s">
        <v>52</v>
      </c>
      <c r="S1" s="9" t="s">
        <v>52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15.75" customHeight="1" x14ac:dyDescent="0.2">
      <c r="A2" s="81" t="s">
        <v>10</v>
      </c>
      <c r="B2" s="14"/>
      <c r="C2" s="14"/>
      <c r="D2" s="15"/>
      <c r="E2" s="15"/>
      <c r="F2" s="14"/>
      <c r="G2" s="14"/>
      <c r="H2" s="15"/>
      <c r="I2" s="15"/>
      <c r="J2" s="14"/>
      <c r="K2" s="14"/>
      <c r="L2" s="15"/>
      <c r="M2" s="15"/>
      <c r="N2" s="14"/>
      <c r="O2" s="14"/>
      <c r="P2" s="15"/>
      <c r="Q2" s="15"/>
      <c r="R2" s="14"/>
      <c r="S2" s="14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</row>
    <row r="3" spans="1:256" ht="15.75" customHeight="1" x14ac:dyDescent="0.25">
      <c r="A3" s="84" t="s">
        <v>11</v>
      </c>
      <c r="B3" s="47">
        <v>552.6</v>
      </c>
      <c r="C3" s="47">
        <f>B3</f>
        <v>552.6</v>
      </c>
      <c r="D3" s="48">
        <v>666.38</v>
      </c>
      <c r="E3" s="48">
        <f>D3</f>
        <v>666.38</v>
      </c>
      <c r="F3" s="47">
        <v>724.08</v>
      </c>
      <c r="G3" s="47">
        <f>F3</f>
        <v>724.08</v>
      </c>
      <c r="H3" s="48">
        <v>781.79</v>
      </c>
      <c r="I3" s="48">
        <f>H3</f>
        <v>781.79</v>
      </c>
      <c r="J3" s="47">
        <v>879.92</v>
      </c>
      <c r="K3" s="47">
        <f>J3</f>
        <v>879.92</v>
      </c>
      <c r="L3" s="48">
        <v>981.96</v>
      </c>
      <c r="M3" s="48">
        <f>L3</f>
        <v>981.96</v>
      </c>
      <c r="N3" s="47">
        <v>1164.53</v>
      </c>
      <c r="O3" s="47">
        <f>N3</f>
        <v>1164.53</v>
      </c>
      <c r="P3" s="48">
        <v>1422.41</v>
      </c>
      <c r="Q3" s="48">
        <f>P3</f>
        <v>1422.41</v>
      </c>
      <c r="R3" s="47">
        <v>1699.52</v>
      </c>
      <c r="S3" s="47">
        <f>R3</f>
        <v>1699.52</v>
      </c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ht="15.75" customHeight="1" x14ac:dyDescent="0.2">
      <c r="A4" s="101" t="s">
        <v>53</v>
      </c>
      <c r="B4" s="50">
        <v>33.159999999999997</v>
      </c>
      <c r="C4" s="50">
        <f>$B$3+B4</f>
        <v>585.76</v>
      </c>
      <c r="D4" s="51">
        <v>39.979999999999997</v>
      </c>
      <c r="E4" s="51">
        <f>$D$3+D4</f>
        <v>706.36</v>
      </c>
      <c r="F4" s="50">
        <v>43.45</v>
      </c>
      <c r="G4" s="50">
        <f>$F$3+F4</f>
        <v>767.53000000000009</v>
      </c>
      <c r="H4" s="51">
        <v>46.9</v>
      </c>
      <c r="I4" s="51">
        <f>$H$3+H4</f>
        <v>828.68999999999994</v>
      </c>
      <c r="J4" s="50">
        <v>52.79</v>
      </c>
      <c r="K4" s="50">
        <f>$J$3+J4</f>
        <v>932.70999999999992</v>
      </c>
      <c r="L4" s="51">
        <v>58.92</v>
      </c>
      <c r="M4" s="51">
        <f>$L$3+L4</f>
        <v>1040.8800000000001</v>
      </c>
      <c r="N4" s="50">
        <v>69.87</v>
      </c>
      <c r="O4" s="50">
        <f>$N$3+N4</f>
        <v>1234.4000000000001</v>
      </c>
      <c r="P4" s="51">
        <v>85.34</v>
      </c>
      <c r="Q4" s="51">
        <f>$P$3+P4</f>
        <v>1507.75</v>
      </c>
      <c r="R4" s="50">
        <v>101.97</v>
      </c>
      <c r="S4" s="50">
        <f>$R$3+R4</f>
        <v>1801.49</v>
      </c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</row>
    <row r="5" spans="1:256" ht="15.75" customHeight="1" x14ac:dyDescent="0.2">
      <c r="A5" s="101" t="s">
        <v>54</v>
      </c>
      <c r="B5" s="50">
        <v>66.3</v>
      </c>
      <c r="C5" s="50">
        <f>$B$3+B5</f>
        <v>618.9</v>
      </c>
      <c r="D5" s="51">
        <v>79.959999999999994</v>
      </c>
      <c r="E5" s="51">
        <f>$D$3+D5</f>
        <v>746.34</v>
      </c>
      <c r="F5" s="50">
        <v>86.89</v>
      </c>
      <c r="G5" s="50">
        <f>$F$3+F5</f>
        <v>810.97</v>
      </c>
      <c r="H5" s="51">
        <v>93.81</v>
      </c>
      <c r="I5" s="51">
        <f>$H$3+H5</f>
        <v>875.59999999999991</v>
      </c>
      <c r="J5" s="50">
        <v>105.59</v>
      </c>
      <c r="K5" s="50">
        <f>$J$3+J5</f>
        <v>985.51</v>
      </c>
      <c r="L5" s="51">
        <v>117.84</v>
      </c>
      <c r="M5" s="51">
        <f>$L$3+L5</f>
        <v>1099.8</v>
      </c>
      <c r="N5" s="50">
        <v>139.74</v>
      </c>
      <c r="O5" s="50">
        <f>$N$3+N5</f>
        <v>1304.27</v>
      </c>
      <c r="P5" s="51">
        <v>170.69</v>
      </c>
      <c r="Q5" s="51">
        <f>$P$3+P5</f>
        <v>1593.1000000000001</v>
      </c>
      <c r="R5" s="50">
        <v>203.95</v>
      </c>
      <c r="S5" s="50">
        <f>$R$3+R5</f>
        <v>1903.47</v>
      </c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15.75" customHeight="1" x14ac:dyDescent="0.2">
      <c r="A6" s="101" t="s">
        <v>55</v>
      </c>
      <c r="B6" s="50">
        <v>99.47</v>
      </c>
      <c r="C6" s="50">
        <f>$B$3+B6</f>
        <v>652.07000000000005</v>
      </c>
      <c r="D6" s="51">
        <v>119.94</v>
      </c>
      <c r="E6" s="51">
        <f>$D$3+D6</f>
        <v>786.31999999999994</v>
      </c>
      <c r="F6" s="50">
        <v>130.34</v>
      </c>
      <c r="G6" s="50">
        <f>$F$3+F6</f>
        <v>854.42000000000007</v>
      </c>
      <c r="H6" s="51">
        <v>140.72</v>
      </c>
      <c r="I6" s="51">
        <f>$H$3+H6</f>
        <v>922.51</v>
      </c>
      <c r="J6" s="50">
        <v>158.38</v>
      </c>
      <c r="K6" s="50">
        <f>$J$3+J6</f>
        <v>1038.3</v>
      </c>
      <c r="L6" s="51">
        <v>176.75</v>
      </c>
      <c r="M6" s="51">
        <f>$L$3+L6</f>
        <v>1158.71</v>
      </c>
      <c r="N6" s="50">
        <v>209.62</v>
      </c>
      <c r="O6" s="50">
        <f>$N$3+N6</f>
        <v>1374.15</v>
      </c>
      <c r="P6" s="51">
        <v>256.02999999999997</v>
      </c>
      <c r="Q6" s="51">
        <f>$P$3+P6</f>
        <v>1678.44</v>
      </c>
      <c r="R6" s="50">
        <v>305.92</v>
      </c>
      <c r="S6" s="50">
        <f>$R$3+R6</f>
        <v>2005.44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15.75" customHeight="1" x14ac:dyDescent="0.2">
      <c r="A7" s="89"/>
      <c r="B7" s="37"/>
      <c r="C7" s="37"/>
      <c r="D7" s="38"/>
      <c r="E7" s="38"/>
      <c r="F7" s="37"/>
      <c r="G7" s="37"/>
      <c r="H7" s="38"/>
      <c r="I7" s="38"/>
      <c r="J7" s="37"/>
      <c r="K7" s="37"/>
      <c r="L7" s="38"/>
      <c r="M7" s="38"/>
      <c r="N7" s="37"/>
      <c r="O7" s="37"/>
      <c r="P7" s="38"/>
      <c r="Q7" s="38"/>
      <c r="R7" s="37"/>
      <c r="S7" s="37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ht="15.75" customHeight="1" x14ac:dyDescent="0.2">
      <c r="A8" s="83" t="s">
        <v>56</v>
      </c>
      <c r="B8" s="44"/>
      <c r="C8" s="44"/>
      <c r="D8" s="45"/>
      <c r="E8" s="45"/>
      <c r="F8" s="44"/>
      <c r="G8" s="44"/>
      <c r="H8" s="45"/>
      <c r="I8" s="45"/>
      <c r="J8" s="44"/>
      <c r="K8" s="44"/>
      <c r="L8" s="45"/>
      <c r="M8" s="45"/>
      <c r="N8" s="44"/>
      <c r="O8" s="44"/>
      <c r="P8" s="45"/>
      <c r="Q8" s="45"/>
      <c r="R8" s="44"/>
      <c r="S8" s="44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</row>
    <row r="9" spans="1:256" ht="15.75" customHeight="1" x14ac:dyDescent="0.25">
      <c r="A9" s="84" t="s">
        <v>11</v>
      </c>
      <c r="B9" s="47">
        <v>692.79</v>
      </c>
      <c r="C9" s="47">
        <f>B9</f>
        <v>692.79</v>
      </c>
      <c r="D9" s="48">
        <v>853.18</v>
      </c>
      <c r="E9" s="48">
        <f>D9</f>
        <v>853.18</v>
      </c>
      <c r="F9" s="47">
        <v>934.04</v>
      </c>
      <c r="G9" s="47">
        <f>F9</f>
        <v>934.04</v>
      </c>
      <c r="H9" s="48">
        <v>1014.56</v>
      </c>
      <c r="I9" s="48">
        <f>H9</f>
        <v>1014.56</v>
      </c>
      <c r="J9" s="47">
        <v>1141.71</v>
      </c>
      <c r="K9" s="47">
        <f>J9</f>
        <v>1141.71</v>
      </c>
      <c r="L9" s="48">
        <v>1297.8699999999999</v>
      </c>
      <c r="M9" s="48">
        <f>L9</f>
        <v>1297.8699999999999</v>
      </c>
      <c r="N9" s="47">
        <v>1538.8</v>
      </c>
      <c r="O9" s="47">
        <f>N9</f>
        <v>1538.8</v>
      </c>
      <c r="P9" s="48">
        <v>1846.23</v>
      </c>
      <c r="Q9" s="48">
        <f>P9</f>
        <v>1846.23</v>
      </c>
      <c r="R9" s="47">
        <v>2265.4899999999998</v>
      </c>
      <c r="S9" s="47">
        <f>R9</f>
        <v>2265.4899999999998</v>
      </c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 ht="15.75" customHeight="1" x14ac:dyDescent="0.2">
      <c r="A10" s="101" t="s">
        <v>57</v>
      </c>
      <c r="B10" s="50">
        <v>20.78</v>
      </c>
      <c r="C10" s="50">
        <f t="shared" ref="C10:C34" si="0">$B$9+B10</f>
        <v>713.56999999999994</v>
      </c>
      <c r="D10" s="51">
        <v>25.6</v>
      </c>
      <c r="E10" s="51">
        <f t="shared" ref="E10:E34" si="1">$D$9+D10</f>
        <v>878.78</v>
      </c>
      <c r="F10" s="50">
        <v>28.02</v>
      </c>
      <c r="G10" s="50">
        <f t="shared" ref="G10:G34" si="2">$F$9+F10</f>
        <v>962.06</v>
      </c>
      <c r="H10" s="51">
        <v>30.44</v>
      </c>
      <c r="I10" s="51">
        <f t="shared" ref="I10:I34" si="3">$H$9+H10</f>
        <v>1045</v>
      </c>
      <c r="J10" s="50">
        <v>34.25</v>
      </c>
      <c r="K10" s="50">
        <f t="shared" ref="K10:K34" si="4">$J$9+J10</f>
        <v>1175.96</v>
      </c>
      <c r="L10" s="51">
        <v>38.94</v>
      </c>
      <c r="M10" s="51">
        <f t="shared" ref="M10:M34" si="5">$L$9+L10</f>
        <v>1336.81</v>
      </c>
      <c r="N10" s="50">
        <v>46.16</v>
      </c>
      <c r="O10" s="50">
        <f t="shared" ref="O10:O34" si="6">$N$9+N10</f>
        <v>1584.96</v>
      </c>
      <c r="P10" s="51">
        <v>55.39</v>
      </c>
      <c r="Q10" s="51">
        <f t="shared" ref="Q10:Q34" si="7">$P$9+P10</f>
        <v>1901.6200000000001</v>
      </c>
      <c r="R10" s="50">
        <v>67.959999999999994</v>
      </c>
      <c r="S10" s="50">
        <f t="shared" ref="S10:S34" si="8">$R$9+R10</f>
        <v>2333.4499999999998</v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ht="15.75" customHeight="1" x14ac:dyDescent="0.2">
      <c r="A11" s="101" t="s">
        <v>58</v>
      </c>
      <c r="B11" s="50">
        <v>41.56</v>
      </c>
      <c r="C11" s="50">
        <f t="shared" si="0"/>
        <v>734.34999999999991</v>
      </c>
      <c r="D11" s="51">
        <v>51.19</v>
      </c>
      <c r="E11" s="51">
        <f t="shared" si="1"/>
        <v>904.36999999999989</v>
      </c>
      <c r="F11" s="50">
        <v>56.04</v>
      </c>
      <c r="G11" s="50">
        <f t="shared" si="2"/>
        <v>990.07999999999993</v>
      </c>
      <c r="H11" s="51">
        <v>60.88</v>
      </c>
      <c r="I11" s="51">
        <f t="shared" si="3"/>
        <v>1075.44</v>
      </c>
      <c r="J11" s="50">
        <v>68.5</v>
      </c>
      <c r="K11" s="50">
        <f t="shared" si="4"/>
        <v>1210.21</v>
      </c>
      <c r="L11" s="51">
        <v>77.87</v>
      </c>
      <c r="M11" s="51">
        <f t="shared" si="5"/>
        <v>1375.7399999999998</v>
      </c>
      <c r="N11" s="50">
        <v>92.32</v>
      </c>
      <c r="O11" s="50">
        <f t="shared" si="6"/>
        <v>1631.12</v>
      </c>
      <c r="P11" s="51">
        <v>110.77</v>
      </c>
      <c r="Q11" s="51">
        <f t="shared" si="7"/>
        <v>1957</v>
      </c>
      <c r="R11" s="50">
        <v>135.91999999999999</v>
      </c>
      <c r="S11" s="50">
        <f t="shared" si="8"/>
        <v>2401.41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.75" customHeight="1" x14ac:dyDescent="0.2">
      <c r="A12" s="101" t="s">
        <v>59</v>
      </c>
      <c r="B12" s="50">
        <v>62.35</v>
      </c>
      <c r="C12" s="50">
        <f t="shared" si="0"/>
        <v>755.14</v>
      </c>
      <c r="D12" s="51">
        <v>76.790000000000006</v>
      </c>
      <c r="E12" s="51">
        <f t="shared" si="1"/>
        <v>929.96999999999991</v>
      </c>
      <c r="F12" s="50">
        <v>84.06</v>
      </c>
      <c r="G12" s="50">
        <f t="shared" si="2"/>
        <v>1018.0999999999999</v>
      </c>
      <c r="H12" s="51">
        <v>91.31</v>
      </c>
      <c r="I12" s="51">
        <f t="shared" si="3"/>
        <v>1105.8699999999999</v>
      </c>
      <c r="J12" s="50">
        <v>102.75</v>
      </c>
      <c r="K12" s="50">
        <f t="shared" si="4"/>
        <v>1244.46</v>
      </c>
      <c r="L12" s="51">
        <v>116.81</v>
      </c>
      <c r="M12" s="51">
        <f t="shared" si="5"/>
        <v>1414.6799999999998</v>
      </c>
      <c r="N12" s="50">
        <v>138.49</v>
      </c>
      <c r="O12" s="50">
        <f t="shared" si="6"/>
        <v>1677.29</v>
      </c>
      <c r="P12" s="51">
        <v>166.16</v>
      </c>
      <c r="Q12" s="51">
        <f t="shared" si="7"/>
        <v>2012.39</v>
      </c>
      <c r="R12" s="50">
        <v>203.89</v>
      </c>
      <c r="S12" s="50">
        <f t="shared" si="8"/>
        <v>2469.3799999999997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ht="15.75" customHeight="1" x14ac:dyDescent="0.2">
      <c r="A13" s="101" t="s">
        <v>60</v>
      </c>
      <c r="B13" s="50">
        <v>83.13</v>
      </c>
      <c r="C13" s="50">
        <f t="shared" si="0"/>
        <v>775.92</v>
      </c>
      <c r="D13" s="51">
        <v>102.39</v>
      </c>
      <c r="E13" s="51">
        <f t="shared" si="1"/>
        <v>955.56999999999994</v>
      </c>
      <c r="F13" s="50">
        <v>112.08</v>
      </c>
      <c r="G13" s="50">
        <f t="shared" si="2"/>
        <v>1046.1199999999999</v>
      </c>
      <c r="H13" s="51">
        <v>121.75</v>
      </c>
      <c r="I13" s="51">
        <f t="shared" si="3"/>
        <v>1136.31</v>
      </c>
      <c r="J13" s="50">
        <v>137</v>
      </c>
      <c r="K13" s="50">
        <f t="shared" si="4"/>
        <v>1278.71</v>
      </c>
      <c r="L13" s="51">
        <v>155.74</v>
      </c>
      <c r="M13" s="51">
        <f t="shared" si="5"/>
        <v>1453.61</v>
      </c>
      <c r="N13" s="50">
        <v>184.65</v>
      </c>
      <c r="O13" s="50">
        <f t="shared" si="6"/>
        <v>1723.45</v>
      </c>
      <c r="P13" s="51">
        <v>221.55</v>
      </c>
      <c r="Q13" s="51">
        <f t="shared" si="7"/>
        <v>2067.7800000000002</v>
      </c>
      <c r="R13" s="50">
        <v>271.85000000000002</v>
      </c>
      <c r="S13" s="50">
        <f t="shared" si="8"/>
        <v>2537.3399999999997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15.75" customHeight="1" x14ac:dyDescent="0.2">
      <c r="A14" s="101" t="s">
        <v>61</v>
      </c>
      <c r="B14" s="50">
        <v>103.91</v>
      </c>
      <c r="C14" s="50">
        <f t="shared" si="0"/>
        <v>796.69999999999993</v>
      </c>
      <c r="D14" s="51">
        <v>127.98</v>
      </c>
      <c r="E14" s="51">
        <f t="shared" si="1"/>
        <v>981.16</v>
      </c>
      <c r="F14" s="50">
        <v>140.1</v>
      </c>
      <c r="G14" s="50">
        <f t="shared" si="2"/>
        <v>1074.1399999999999</v>
      </c>
      <c r="H14" s="51">
        <v>152.19</v>
      </c>
      <c r="I14" s="51">
        <f t="shared" si="3"/>
        <v>1166.75</v>
      </c>
      <c r="J14" s="50">
        <v>171.25</v>
      </c>
      <c r="K14" s="50">
        <f t="shared" si="4"/>
        <v>1312.96</v>
      </c>
      <c r="L14" s="51">
        <v>194.68</v>
      </c>
      <c r="M14" s="51">
        <f t="shared" si="5"/>
        <v>1492.55</v>
      </c>
      <c r="N14" s="50">
        <v>230.82</v>
      </c>
      <c r="O14" s="50">
        <f t="shared" si="6"/>
        <v>1769.62</v>
      </c>
      <c r="P14" s="51">
        <v>276.93</v>
      </c>
      <c r="Q14" s="51">
        <f t="shared" si="7"/>
        <v>2123.16</v>
      </c>
      <c r="R14" s="50">
        <v>339.82</v>
      </c>
      <c r="S14" s="50">
        <f t="shared" si="8"/>
        <v>2605.31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5.75" customHeight="1" x14ac:dyDescent="0.2">
      <c r="A15" s="101" t="s">
        <v>62</v>
      </c>
      <c r="B15" s="50">
        <v>124.7</v>
      </c>
      <c r="C15" s="50">
        <f t="shared" si="0"/>
        <v>817.49</v>
      </c>
      <c r="D15" s="51">
        <v>153.58000000000001</v>
      </c>
      <c r="E15" s="51">
        <f t="shared" si="1"/>
        <v>1006.76</v>
      </c>
      <c r="F15" s="50">
        <v>168.12</v>
      </c>
      <c r="G15" s="50">
        <f t="shared" si="2"/>
        <v>1102.1599999999999</v>
      </c>
      <c r="H15" s="51">
        <v>182.62</v>
      </c>
      <c r="I15" s="51">
        <f t="shared" si="3"/>
        <v>1197.1799999999998</v>
      </c>
      <c r="J15" s="50">
        <v>205.5</v>
      </c>
      <c r="K15" s="50">
        <f t="shared" si="4"/>
        <v>1347.21</v>
      </c>
      <c r="L15" s="51">
        <v>233.62</v>
      </c>
      <c r="M15" s="51">
        <f t="shared" si="5"/>
        <v>1531.4899999999998</v>
      </c>
      <c r="N15" s="50">
        <v>276.98</v>
      </c>
      <c r="O15" s="50">
        <f t="shared" si="6"/>
        <v>1815.78</v>
      </c>
      <c r="P15" s="51">
        <v>332.32</v>
      </c>
      <c r="Q15" s="51">
        <f t="shared" si="7"/>
        <v>2178.5500000000002</v>
      </c>
      <c r="R15" s="50">
        <v>407.78</v>
      </c>
      <c r="S15" s="50">
        <f t="shared" si="8"/>
        <v>2673.2699999999995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15.75" customHeight="1" x14ac:dyDescent="0.2">
      <c r="A16" s="101" t="s">
        <v>63</v>
      </c>
      <c r="B16" s="50">
        <v>145.47999999999999</v>
      </c>
      <c r="C16" s="50">
        <f t="shared" si="0"/>
        <v>838.27</v>
      </c>
      <c r="D16" s="51">
        <v>179.17</v>
      </c>
      <c r="E16" s="51">
        <f t="shared" si="1"/>
        <v>1032.3499999999999</v>
      </c>
      <c r="F16" s="50">
        <v>196.14</v>
      </c>
      <c r="G16" s="50">
        <f t="shared" si="2"/>
        <v>1130.1799999999998</v>
      </c>
      <c r="H16" s="51">
        <v>213.06</v>
      </c>
      <c r="I16" s="51">
        <f t="shared" si="3"/>
        <v>1227.6199999999999</v>
      </c>
      <c r="J16" s="50">
        <v>239.76</v>
      </c>
      <c r="K16" s="50">
        <f t="shared" si="4"/>
        <v>1381.47</v>
      </c>
      <c r="L16" s="51">
        <v>272.55</v>
      </c>
      <c r="M16" s="51">
        <f t="shared" si="5"/>
        <v>1570.4199999999998</v>
      </c>
      <c r="N16" s="50">
        <v>323.14</v>
      </c>
      <c r="O16" s="50">
        <f t="shared" si="6"/>
        <v>1861.94</v>
      </c>
      <c r="P16" s="51">
        <v>387.71</v>
      </c>
      <c r="Q16" s="51">
        <f t="shared" si="7"/>
        <v>2233.94</v>
      </c>
      <c r="R16" s="50">
        <v>475.75</v>
      </c>
      <c r="S16" s="50">
        <f t="shared" si="8"/>
        <v>2741.24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5.75" customHeight="1" x14ac:dyDescent="0.2">
      <c r="A17" s="101" t="s">
        <v>64</v>
      </c>
      <c r="B17" s="50">
        <v>166.26</v>
      </c>
      <c r="C17" s="50">
        <f t="shared" si="0"/>
        <v>859.05</v>
      </c>
      <c r="D17" s="51">
        <v>204.77</v>
      </c>
      <c r="E17" s="51">
        <f t="shared" si="1"/>
        <v>1057.95</v>
      </c>
      <c r="F17" s="50">
        <v>224.16</v>
      </c>
      <c r="G17" s="50">
        <f t="shared" si="2"/>
        <v>1158.2</v>
      </c>
      <c r="H17" s="51">
        <v>243.5</v>
      </c>
      <c r="I17" s="51">
        <f t="shared" si="3"/>
        <v>1258.06</v>
      </c>
      <c r="J17" s="50">
        <v>274.01</v>
      </c>
      <c r="K17" s="50">
        <f t="shared" si="4"/>
        <v>1415.72</v>
      </c>
      <c r="L17" s="51">
        <v>311.49</v>
      </c>
      <c r="M17" s="51">
        <f t="shared" si="5"/>
        <v>1609.36</v>
      </c>
      <c r="N17" s="50">
        <v>369.31</v>
      </c>
      <c r="O17" s="50">
        <f t="shared" si="6"/>
        <v>1908.11</v>
      </c>
      <c r="P17" s="51">
        <v>443.09</v>
      </c>
      <c r="Q17" s="51">
        <f t="shared" si="7"/>
        <v>2289.3200000000002</v>
      </c>
      <c r="R17" s="50">
        <v>543.71</v>
      </c>
      <c r="S17" s="50">
        <f t="shared" si="8"/>
        <v>2809.2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5.75" customHeight="1" x14ac:dyDescent="0.2">
      <c r="A18" s="101" t="s">
        <v>65</v>
      </c>
      <c r="B18" s="50">
        <v>187.05</v>
      </c>
      <c r="C18" s="50">
        <f t="shared" si="0"/>
        <v>879.83999999999992</v>
      </c>
      <c r="D18" s="51">
        <v>230.36</v>
      </c>
      <c r="E18" s="51">
        <f t="shared" si="1"/>
        <v>1083.54</v>
      </c>
      <c r="F18" s="50">
        <v>252.19</v>
      </c>
      <c r="G18" s="50">
        <f t="shared" si="2"/>
        <v>1186.23</v>
      </c>
      <c r="H18" s="51">
        <v>273.93</v>
      </c>
      <c r="I18" s="51">
        <f t="shared" si="3"/>
        <v>1288.49</v>
      </c>
      <c r="J18" s="50">
        <v>308.26</v>
      </c>
      <c r="K18" s="50">
        <f t="shared" si="4"/>
        <v>1449.97</v>
      </c>
      <c r="L18" s="51">
        <v>350.42</v>
      </c>
      <c r="M18" s="51">
        <f t="shared" si="5"/>
        <v>1648.29</v>
      </c>
      <c r="N18" s="50">
        <v>415.47</v>
      </c>
      <c r="O18" s="50">
        <f t="shared" si="6"/>
        <v>1954.27</v>
      </c>
      <c r="P18" s="51">
        <v>498.48</v>
      </c>
      <c r="Q18" s="51">
        <f t="shared" si="7"/>
        <v>2344.71</v>
      </c>
      <c r="R18" s="50">
        <v>611.67999999999995</v>
      </c>
      <c r="S18" s="50">
        <f t="shared" si="8"/>
        <v>2877.1699999999996</v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15.75" customHeight="1" x14ac:dyDescent="0.2">
      <c r="A19" s="101" t="s">
        <v>66</v>
      </c>
      <c r="B19" s="50">
        <v>207.83</v>
      </c>
      <c r="C19" s="50">
        <f t="shared" si="0"/>
        <v>900.62</v>
      </c>
      <c r="D19" s="51">
        <v>255.96</v>
      </c>
      <c r="E19" s="51">
        <f t="shared" si="1"/>
        <v>1109.1399999999999</v>
      </c>
      <c r="F19" s="50">
        <v>280.20999999999998</v>
      </c>
      <c r="G19" s="50">
        <f t="shared" si="2"/>
        <v>1214.25</v>
      </c>
      <c r="H19" s="51">
        <v>304.37</v>
      </c>
      <c r="I19" s="51">
        <f t="shared" si="3"/>
        <v>1318.9299999999998</v>
      </c>
      <c r="J19" s="50">
        <v>342.51</v>
      </c>
      <c r="K19" s="50">
        <f t="shared" si="4"/>
        <v>1484.22</v>
      </c>
      <c r="L19" s="51">
        <v>389.36</v>
      </c>
      <c r="M19" s="51">
        <f t="shared" si="5"/>
        <v>1687.23</v>
      </c>
      <c r="N19" s="50">
        <v>461.63</v>
      </c>
      <c r="O19" s="50">
        <f t="shared" si="6"/>
        <v>2000.4299999999998</v>
      </c>
      <c r="P19" s="51">
        <v>553.87</v>
      </c>
      <c r="Q19" s="51">
        <f t="shared" si="7"/>
        <v>2400.1</v>
      </c>
      <c r="R19" s="50">
        <v>679.64</v>
      </c>
      <c r="S19" s="50">
        <f t="shared" si="8"/>
        <v>2945.1299999999997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15.75" customHeight="1" x14ac:dyDescent="0.2">
      <c r="A20" s="101" t="s">
        <v>67</v>
      </c>
      <c r="B20" s="50">
        <v>228.61</v>
      </c>
      <c r="C20" s="50">
        <f t="shared" si="0"/>
        <v>921.4</v>
      </c>
      <c r="D20" s="51">
        <v>281.55</v>
      </c>
      <c r="E20" s="51">
        <f t="shared" si="1"/>
        <v>1134.73</v>
      </c>
      <c r="F20" s="50">
        <v>308.23</v>
      </c>
      <c r="G20" s="50">
        <f t="shared" si="2"/>
        <v>1242.27</v>
      </c>
      <c r="H20" s="51">
        <v>334.81</v>
      </c>
      <c r="I20" s="51">
        <f t="shared" si="3"/>
        <v>1349.37</v>
      </c>
      <c r="J20" s="50">
        <v>376.76</v>
      </c>
      <c r="K20" s="50">
        <f t="shared" si="4"/>
        <v>1518.47</v>
      </c>
      <c r="L20" s="51">
        <v>428.3</v>
      </c>
      <c r="M20" s="51">
        <f t="shared" si="5"/>
        <v>1726.1699999999998</v>
      </c>
      <c r="N20" s="50">
        <v>507.8</v>
      </c>
      <c r="O20" s="50">
        <f t="shared" si="6"/>
        <v>2046.6</v>
      </c>
      <c r="P20" s="51">
        <v>609.25</v>
      </c>
      <c r="Q20" s="51">
        <f t="shared" si="7"/>
        <v>2455.48</v>
      </c>
      <c r="R20" s="50">
        <v>747.61</v>
      </c>
      <c r="S20" s="50">
        <f t="shared" si="8"/>
        <v>3013.1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15.75" customHeight="1" x14ac:dyDescent="0.2">
      <c r="A21" s="101" t="s">
        <v>68</v>
      </c>
      <c r="B21" s="50">
        <v>249.4</v>
      </c>
      <c r="C21" s="50">
        <f t="shared" si="0"/>
        <v>942.18999999999994</v>
      </c>
      <c r="D21" s="51">
        <v>307.14999999999998</v>
      </c>
      <c r="E21" s="51">
        <f t="shared" si="1"/>
        <v>1160.33</v>
      </c>
      <c r="F21" s="50">
        <v>336.25</v>
      </c>
      <c r="G21" s="50">
        <f t="shared" si="2"/>
        <v>1270.29</v>
      </c>
      <c r="H21" s="51">
        <v>365.25</v>
      </c>
      <c r="I21" s="51">
        <f t="shared" si="3"/>
        <v>1379.81</v>
      </c>
      <c r="J21" s="50">
        <v>411.01</v>
      </c>
      <c r="K21" s="50">
        <f t="shared" si="4"/>
        <v>1552.72</v>
      </c>
      <c r="L21" s="51">
        <v>467.23</v>
      </c>
      <c r="M21" s="51">
        <f t="shared" si="5"/>
        <v>1765.1</v>
      </c>
      <c r="N21" s="50">
        <v>553.96</v>
      </c>
      <c r="O21" s="50">
        <f t="shared" si="6"/>
        <v>2092.7600000000002</v>
      </c>
      <c r="P21" s="51">
        <v>664.64</v>
      </c>
      <c r="Q21" s="51">
        <f t="shared" si="7"/>
        <v>2510.87</v>
      </c>
      <c r="R21" s="50">
        <v>815.57</v>
      </c>
      <c r="S21" s="50">
        <f t="shared" si="8"/>
        <v>3081.06</v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15.75" customHeight="1" x14ac:dyDescent="0.2">
      <c r="A22" s="101" t="s">
        <v>69</v>
      </c>
      <c r="B22" s="50">
        <v>270.18</v>
      </c>
      <c r="C22" s="50">
        <f t="shared" si="0"/>
        <v>962.97</v>
      </c>
      <c r="D22" s="51">
        <v>332.74</v>
      </c>
      <c r="E22" s="51">
        <f t="shared" si="1"/>
        <v>1185.92</v>
      </c>
      <c r="F22" s="50">
        <v>364.27</v>
      </c>
      <c r="G22" s="50">
        <f t="shared" si="2"/>
        <v>1298.31</v>
      </c>
      <c r="H22" s="51">
        <v>395.68</v>
      </c>
      <c r="I22" s="51">
        <f t="shared" si="3"/>
        <v>1410.24</v>
      </c>
      <c r="J22" s="50">
        <v>445.26</v>
      </c>
      <c r="K22" s="50">
        <f t="shared" si="4"/>
        <v>1586.97</v>
      </c>
      <c r="L22" s="51">
        <v>506.17</v>
      </c>
      <c r="M22" s="51">
        <f t="shared" si="5"/>
        <v>1804.04</v>
      </c>
      <c r="N22" s="50">
        <v>600.13</v>
      </c>
      <c r="O22" s="50">
        <f t="shared" si="6"/>
        <v>2138.9299999999998</v>
      </c>
      <c r="P22" s="51">
        <v>720.03</v>
      </c>
      <c r="Q22" s="51">
        <f t="shared" si="7"/>
        <v>2566.2600000000002</v>
      </c>
      <c r="R22" s="50">
        <v>883.54</v>
      </c>
      <c r="S22" s="50">
        <f t="shared" si="8"/>
        <v>3149.0299999999997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15.75" customHeight="1" x14ac:dyDescent="0.2">
      <c r="A23" s="101" t="s">
        <v>70</v>
      </c>
      <c r="B23" s="50">
        <v>290.95999999999998</v>
      </c>
      <c r="C23" s="50">
        <f t="shared" si="0"/>
        <v>983.75</v>
      </c>
      <c r="D23" s="51">
        <v>358.34</v>
      </c>
      <c r="E23" s="51">
        <f t="shared" si="1"/>
        <v>1211.52</v>
      </c>
      <c r="F23" s="50">
        <v>392.29</v>
      </c>
      <c r="G23" s="50">
        <f t="shared" si="2"/>
        <v>1326.33</v>
      </c>
      <c r="H23" s="51">
        <v>426.12</v>
      </c>
      <c r="I23" s="51">
        <f t="shared" si="3"/>
        <v>1440.6799999999998</v>
      </c>
      <c r="J23" s="50">
        <v>479.51</v>
      </c>
      <c r="K23" s="50">
        <f t="shared" si="4"/>
        <v>1621.22</v>
      </c>
      <c r="L23" s="51">
        <v>545.11</v>
      </c>
      <c r="M23" s="51">
        <f t="shared" si="5"/>
        <v>1842.98</v>
      </c>
      <c r="N23" s="50">
        <v>646.29</v>
      </c>
      <c r="O23" s="50">
        <f t="shared" si="6"/>
        <v>2185.09</v>
      </c>
      <c r="P23" s="51">
        <v>775.42</v>
      </c>
      <c r="Q23" s="51">
        <f t="shared" si="7"/>
        <v>2621.65</v>
      </c>
      <c r="R23" s="50">
        <v>951.5</v>
      </c>
      <c r="S23" s="50">
        <f t="shared" si="8"/>
        <v>3216.99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15.75" customHeight="1" x14ac:dyDescent="0.2">
      <c r="A24" s="101" t="s">
        <v>71</v>
      </c>
      <c r="B24" s="50">
        <v>311.75</v>
      </c>
      <c r="C24" s="50">
        <f t="shared" si="0"/>
        <v>1004.54</v>
      </c>
      <c r="D24" s="51">
        <v>383.94</v>
      </c>
      <c r="E24" s="51">
        <f t="shared" si="1"/>
        <v>1237.1199999999999</v>
      </c>
      <c r="F24" s="50">
        <v>420.31</v>
      </c>
      <c r="G24" s="50">
        <f t="shared" si="2"/>
        <v>1354.35</v>
      </c>
      <c r="H24" s="51">
        <v>456.56</v>
      </c>
      <c r="I24" s="51">
        <f t="shared" si="3"/>
        <v>1471.12</v>
      </c>
      <c r="J24" s="50">
        <v>513.77</v>
      </c>
      <c r="K24" s="50">
        <f t="shared" si="4"/>
        <v>1655.48</v>
      </c>
      <c r="L24" s="51">
        <v>584.04</v>
      </c>
      <c r="M24" s="51">
        <f t="shared" si="5"/>
        <v>1881.9099999999999</v>
      </c>
      <c r="N24" s="50">
        <v>692.45</v>
      </c>
      <c r="O24" s="50">
        <f t="shared" si="6"/>
        <v>2231.25</v>
      </c>
      <c r="P24" s="51">
        <v>830.8</v>
      </c>
      <c r="Q24" s="51">
        <f t="shared" si="7"/>
        <v>2677.0299999999997</v>
      </c>
      <c r="R24" s="50">
        <v>1019.46</v>
      </c>
      <c r="S24" s="50">
        <f t="shared" si="8"/>
        <v>3284.95</v>
      </c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5.75" customHeight="1" x14ac:dyDescent="0.2">
      <c r="A25" s="109" t="s">
        <v>72</v>
      </c>
      <c r="B25" s="50">
        <v>332.54</v>
      </c>
      <c r="C25" s="50">
        <f t="shared" si="0"/>
        <v>1025.33</v>
      </c>
      <c r="D25" s="51">
        <v>409.53</v>
      </c>
      <c r="E25" s="51">
        <f t="shared" si="1"/>
        <v>1262.71</v>
      </c>
      <c r="F25" s="50">
        <v>448.34</v>
      </c>
      <c r="G25" s="50">
        <f t="shared" si="2"/>
        <v>1382.3799999999999</v>
      </c>
      <c r="H25" s="51">
        <v>486.99</v>
      </c>
      <c r="I25" s="51">
        <f t="shared" si="3"/>
        <v>1501.55</v>
      </c>
      <c r="J25" s="50">
        <v>548.02</v>
      </c>
      <c r="K25" s="50">
        <f t="shared" si="4"/>
        <v>1689.73</v>
      </c>
      <c r="L25" s="51">
        <v>622.98</v>
      </c>
      <c r="M25" s="51">
        <f t="shared" si="5"/>
        <v>1920.85</v>
      </c>
      <c r="N25" s="50">
        <v>738.62</v>
      </c>
      <c r="O25" s="50">
        <f t="shared" si="6"/>
        <v>2277.42</v>
      </c>
      <c r="P25" s="51">
        <v>886.19</v>
      </c>
      <c r="Q25" s="51">
        <f t="shared" si="7"/>
        <v>2732.42</v>
      </c>
      <c r="R25" s="50">
        <v>1087.44</v>
      </c>
      <c r="S25" s="50">
        <f t="shared" si="8"/>
        <v>3352.93</v>
      </c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  <c r="IU25" s="110"/>
      <c r="IV25" s="110"/>
    </row>
    <row r="26" spans="1:256" ht="15.75" customHeight="1" x14ac:dyDescent="0.2">
      <c r="A26" s="101" t="s">
        <v>73</v>
      </c>
      <c r="B26" s="50">
        <v>353.32</v>
      </c>
      <c r="C26" s="50">
        <f t="shared" si="0"/>
        <v>1046.1099999999999</v>
      </c>
      <c r="D26" s="51">
        <v>435.12</v>
      </c>
      <c r="E26" s="51">
        <f t="shared" si="1"/>
        <v>1288.3</v>
      </c>
      <c r="F26" s="50">
        <v>476.36</v>
      </c>
      <c r="G26" s="50">
        <f t="shared" si="2"/>
        <v>1410.4</v>
      </c>
      <c r="H26" s="51">
        <v>517.42999999999995</v>
      </c>
      <c r="I26" s="51">
        <f t="shared" si="3"/>
        <v>1531.9899999999998</v>
      </c>
      <c r="J26" s="50">
        <v>582.27</v>
      </c>
      <c r="K26" s="50">
        <f t="shared" si="4"/>
        <v>1723.98</v>
      </c>
      <c r="L26" s="51">
        <v>661.91</v>
      </c>
      <c r="M26" s="51">
        <f t="shared" si="5"/>
        <v>1959.7799999999997</v>
      </c>
      <c r="N26" s="50">
        <v>784.79</v>
      </c>
      <c r="O26" s="50">
        <f t="shared" si="6"/>
        <v>2323.59</v>
      </c>
      <c r="P26" s="51">
        <v>941.58</v>
      </c>
      <c r="Q26" s="51">
        <f t="shared" si="7"/>
        <v>2787.81</v>
      </c>
      <c r="R26" s="50">
        <v>1155.4000000000001</v>
      </c>
      <c r="S26" s="50">
        <f t="shared" si="8"/>
        <v>3420.89</v>
      </c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5.75" customHeight="1" x14ac:dyDescent="0.2">
      <c r="A27" s="101" t="s">
        <v>74</v>
      </c>
      <c r="B27" s="50">
        <v>374.11</v>
      </c>
      <c r="C27" s="50">
        <f t="shared" si="0"/>
        <v>1066.9000000000001</v>
      </c>
      <c r="D27" s="51">
        <v>460.72</v>
      </c>
      <c r="E27" s="51">
        <f t="shared" si="1"/>
        <v>1313.9</v>
      </c>
      <c r="F27" s="50">
        <v>504.38</v>
      </c>
      <c r="G27" s="50">
        <f t="shared" si="2"/>
        <v>1438.42</v>
      </c>
      <c r="H27" s="51">
        <v>547.86</v>
      </c>
      <c r="I27" s="51">
        <f t="shared" si="3"/>
        <v>1562.42</v>
      </c>
      <c r="J27" s="50">
        <v>616.52</v>
      </c>
      <c r="K27" s="50">
        <f t="shared" si="4"/>
        <v>1758.23</v>
      </c>
      <c r="L27" s="51">
        <v>700.85</v>
      </c>
      <c r="M27" s="51">
        <f t="shared" si="5"/>
        <v>1998.7199999999998</v>
      </c>
      <c r="N27" s="50">
        <v>830.95</v>
      </c>
      <c r="O27" s="50">
        <f t="shared" si="6"/>
        <v>2369.75</v>
      </c>
      <c r="P27" s="51">
        <v>996.96</v>
      </c>
      <c r="Q27" s="51">
        <f t="shared" si="7"/>
        <v>2843.19</v>
      </c>
      <c r="R27" s="50">
        <v>1223.3599999999999</v>
      </c>
      <c r="S27" s="50">
        <f t="shared" si="8"/>
        <v>3488.8499999999995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15.75" customHeight="1" x14ac:dyDescent="0.2">
      <c r="A28" s="101" t="s">
        <v>75</v>
      </c>
      <c r="B28" s="50">
        <v>394.89</v>
      </c>
      <c r="C28" s="50">
        <f t="shared" si="0"/>
        <v>1087.6799999999998</v>
      </c>
      <c r="D28" s="51">
        <v>486.31</v>
      </c>
      <c r="E28" s="51">
        <f t="shared" si="1"/>
        <v>1339.49</v>
      </c>
      <c r="F28" s="50">
        <v>532.4</v>
      </c>
      <c r="G28" s="50">
        <f t="shared" si="2"/>
        <v>1466.44</v>
      </c>
      <c r="H28" s="51">
        <v>578.29999999999995</v>
      </c>
      <c r="I28" s="51">
        <f t="shared" si="3"/>
        <v>1592.86</v>
      </c>
      <c r="J28" s="50">
        <v>650.77</v>
      </c>
      <c r="K28" s="50">
        <f t="shared" si="4"/>
        <v>1792.48</v>
      </c>
      <c r="L28" s="51">
        <v>739.79</v>
      </c>
      <c r="M28" s="51">
        <f t="shared" si="5"/>
        <v>2037.6599999999999</v>
      </c>
      <c r="N28" s="50">
        <v>877.12</v>
      </c>
      <c r="O28" s="50">
        <f t="shared" si="6"/>
        <v>2415.92</v>
      </c>
      <c r="P28" s="51">
        <v>1052.3499999999999</v>
      </c>
      <c r="Q28" s="51">
        <f t="shared" si="7"/>
        <v>2898.58</v>
      </c>
      <c r="R28" s="50">
        <v>1291.33</v>
      </c>
      <c r="S28" s="50">
        <f t="shared" si="8"/>
        <v>3556.8199999999997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5.75" customHeight="1" x14ac:dyDescent="0.2">
      <c r="A29" s="101" t="s">
        <v>76</v>
      </c>
      <c r="B29" s="50">
        <v>415.67</v>
      </c>
      <c r="C29" s="50">
        <f t="shared" si="0"/>
        <v>1108.46</v>
      </c>
      <c r="D29" s="51">
        <v>511.91</v>
      </c>
      <c r="E29" s="51">
        <f t="shared" si="1"/>
        <v>1365.09</v>
      </c>
      <c r="F29" s="50">
        <v>560.41999999999996</v>
      </c>
      <c r="G29" s="50">
        <f t="shared" si="2"/>
        <v>1494.46</v>
      </c>
      <c r="H29" s="51">
        <v>608.74</v>
      </c>
      <c r="I29" s="51">
        <f t="shared" si="3"/>
        <v>1623.3</v>
      </c>
      <c r="J29" s="50">
        <v>685.03</v>
      </c>
      <c r="K29" s="50">
        <f t="shared" si="4"/>
        <v>1826.74</v>
      </c>
      <c r="L29" s="51">
        <v>778.72</v>
      </c>
      <c r="M29" s="51">
        <f t="shared" si="5"/>
        <v>2076.59</v>
      </c>
      <c r="N29" s="50">
        <v>923.28</v>
      </c>
      <c r="O29" s="50">
        <f t="shared" si="6"/>
        <v>2462.08</v>
      </c>
      <c r="P29" s="51">
        <v>1107.74</v>
      </c>
      <c r="Q29" s="51">
        <f t="shared" si="7"/>
        <v>2953.9700000000003</v>
      </c>
      <c r="R29" s="50">
        <v>1359.29</v>
      </c>
      <c r="S29" s="50">
        <f t="shared" si="8"/>
        <v>3624.7799999999997</v>
      </c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15.75" customHeight="1" x14ac:dyDescent="0.2">
      <c r="A30" s="101" t="s">
        <v>77</v>
      </c>
      <c r="B30" s="50">
        <v>436.46</v>
      </c>
      <c r="C30" s="50">
        <f t="shared" si="0"/>
        <v>1129.25</v>
      </c>
      <c r="D30" s="51">
        <v>537.5</v>
      </c>
      <c r="E30" s="51">
        <f t="shared" si="1"/>
        <v>1390.6799999999998</v>
      </c>
      <c r="F30" s="50">
        <v>588.45000000000005</v>
      </c>
      <c r="G30" s="50">
        <f t="shared" si="2"/>
        <v>1522.49</v>
      </c>
      <c r="H30" s="51">
        <v>639.16999999999996</v>
      </c>
      <c r="I30" s="51">
        <f t="shared" si="3"/>
        <v>1653.73</v>
      </c>
      <c r="J30" s="50">
        <v>719.28</v>
      </c>
      <c r="K30" s="50">
        <f t="shared" si="4"/>
        <v>1860.99</v>
      </c>
      <c r="L30" s="51">
        <v>817.66</v>
      </c>
      <c r="M30" s="51">
        <f t="shared" si="5"/>
        <v>2115.5299999999997</v>
      </c>
      <c r="N30" s="50">
        <v>969.44</v>
      </c>
      <c r="O30" s="50">
        <f t="shared" si="6"/>
        <v>2508.2399999999998</v>
      </c>
      <c r="P30" s="51">
        <v>1163.1199999999999</v>
      </c>
      <c r="Q30" s="51">
        <f t="shared" si="7"/>
        <v>3009.35</v>
      </c>
      <c r="R30" s="50">
        <v>1427.26</v>
      </c>
      <c r="S30" s="50">
        <f t="shared" si="8"/>
        <v>3692.75</v>
      </c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15.75" customHeight="1" x14ac:dyDescent="0.2">
      <c r="A31" s="101" t="s">
        <v>78</v>
      </c>
      <c r="B31" s="50">
        <v>457.24</v>
      </c>
      <c r="C31" s="50">
        <f t="shared" si="0"/>
        <v>1150.03</v>
      </c>
      <c r="D31" s="51">
        <v>563.1</v>
      </c>
      <c r="E31" s="51">
        <f t="shared" si="1"/>
        <v>1416.28</v>
      </c>
      <c r="F31" s="50">
        <v>616.47</v>
      </c>
      <c r="G31" s="50">
        <f t="shared" si="2"/>
        <v>1550.51</v>
      </c>
      <c r="H31" s="51">
        <v>669.61</v>
      </c>
      <c r="I31" s="51">
        <f t="shared" si="3"/>
        <v>1684.17</v>
      </c>
      <c r="J31" s="50">
        <v>753.53</v>
      </c>
      <c r="K31" s="50">
        <f t="shared" si="4"/>
        <v>1895.24</v>
      </c>
      <c r="L31" s="51">
        <v>856.59</v>
      </c>
      <c r="M31" s="51">
        <f t="shared" si="5"/>
        <v>2154.46</v>
      </c>
      <c r="N31" s="50">
        <v>1015.61</v>
      </c>
      <c r="O31" s="50">
        <f t="shared" si="6"/>
        <v>2554.41</v>
      </c>
      <c r="P31" s="51">
        <v>1218.51</v>
      </c>
      <c r="Q31" s="51">
        <f t="shared" si="7"/>
        <v>3064.74</v>
      </c>
      <c r="R31" s="50">
        <v>1495.22</v>
      </c>
      <c r="S31" s="50">
        <f t="shared" si="8"/>
        <v>3760.71</v>
      </c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15.75" customHeight="1" x14ac:dyDescent="0.2">
      <c r="A32" s="101" t="s">
        <v>79</v>
      </c>
      <c r="B32" s="50">
        <v>478.03</v>
      </c>
      <c r="C32" s="50">
        <f t="shared" si="0"/>
        <v>1170.82</v>
      </c>
      <c r="D32" s="51">
        <v>588.69000000000005</v>
      </c>
      <c r="E32" s="51">
        <f t="shared" si="1"/>
        <v>1441.87</v>
      </c>
      <c r="F32" s="50">
        <v>644.49</v>
      </c>
      <c r="G32" s="50">
        <f t="shared" si="2"/>
        <v>1578.53</v>
      </c>
      <c r="H32" s="51">
        <v>700.05</v>
      </c>
      <c r="I32" s="51">
        <f t="shared" si="3"/>
        <v>1714.61</v>
      </c>
      <c r="J32" s="50">
        <v>787.78</v>
      </c>
      <c r="K32" s="50">
        <f t="shared" si="4"/>
        <v>1929.49</v>
      </c>
      <c r="L32" s="51">
        <v>895.53</v>
      </c>
      <c r="M32" s="51">
        <f t="shared" si="5"/>
        <v>2193.3999999999996</v>
      </c>
      <c r="N32" s="50">
        <v>1061.77</v>
      </c>
      <c r="O32" s="50">
        <f t="shared" si="6"/>
        <v>2600.5699999999997</v>
      </c>
      <c r="P32" s="51">
        <v>1273.9000000000001</v>
      </c>
      <c r="Q32" s="51">
        <f t="shared" si="7"/>
        <v>3120.13</v>
      </c>
      <c r="R32" s="50">
        <v>1563.19</v>
      </c>
      <c r="S32" s="50">
        <f t="shared" si="8"/>
        <v>3828.68</v>
      </c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ht="15.75" customHeight="1" x14ac:dyDescent="0.2">
      <c r="A33" s="101" t="s">
        <v>80</v>
      </c>
      <c r="B33" s="50">
        <v>498.81</v>
      </c>
      <c r="C33" s="50">
        <f t="shared" si="0"/>
        <v>1191.5999999999999</v>
      </c>
      <c r="D33" s="51">
        <v>614.29</v>
      </c>
      <c r="E33" s="51">
        <f t="shared" si="1"/>
        <v>1467.4699999999998</v>
      </c>
      <c r="F33" s="50">
        <v>672.51</v>
      </c>
      <c r="G33" s="50">
        <f t="shared" si="2"/>
        <v>1606.55</v>
      </c>
      <c r="H33" s="51">
        <v>730.48</v>
      </c>
      <c r="I33" s="51">
        <f t="shared" si="3"/>
        <v>1745.04</v>
      </c>
      <c r="J33" s="50">
        <v>822.03</v>
      </c>
      <c r="K33" s="50">
        <f t="shared" si="4"/>
        <v>1963.74</v>
      </c>
      <c r="L33" s="51">
        <v>934.47</v>
      </c>
      <c r="M33" s="51">
        <f t="shared" si="5"/>
        <v>2232.34</v>
      </c>
      <c r="N33" s="50">
        <v>1107.94</v>
      </c>
      <c r="O33" s="50">
        <f t="shared" si="6"/>
        <v>2646.74</v>
      </c>
      <c r="P33" s="51">
        <v>1329.29</v>
      </c>
      <c r="Q33" s="51">
        <f t="shared" si="7"/>
        <v>3175.52</v>
      </c>
      <c r="R33" s="50">
        <v>1631.15</v>
      </c>
      <c r="S33" s="50">
        <f t="shared" si="8"/>
        <v>3896.64</v>
      </c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ht="15.75" customHeight="1" x14ac:dyDescent="0.2">
      <c r="A34" s="101" t="s">
        <v>81</v>
      </c>
      <c r="B34" s="50">
        <v>519.59</v>
      </c>
      <c r="C34" s="50">
        <f t="shared" si="0"/>
        <v>1212.3800000000001</v>
      </c>
      <c r="D34" s="51">
        <v>639.89</v>
      </c>
      <c r="E34" s="51">
        <f t="shared" si="1"/>
        <v>1493.07</v>
      </c>
      <c r="F34" s="50">
        <v>700.53</v>
      </c>
      <c r="G34" s="50">
        <f t="shared" si="2"/>
        <v>1634.57</v>
      </c>
      <c r="H34" s="51">
        <v>760.92</v>
      </c>
      <c r="I34" s="51">
        <f t="shared" si="3"/>
        <v>1775.48</v>
      </c>
      <c r="J34" s="50">
        <v>856.28</v>
      </c>
      <c r="K34" s="50">
        <f t="shared" si="4"/>
        <v>1997.99</v>
      </c>
      <c r="L34" s="51">
        <v>973.4</v>
      </c>
      <c r="M34" s="51">
        <f t="shared" si="5"/>
        <v>2271.27</v>
      </c>
      <c r="N34" s="50">
        <v>1154.0999999999999</v>
      </c>
      <c r="O34" s="50">
        <f t="shared" si="6"/>
        <v>2692.8999999999996</v>
      </c>
      <c r="P34" s="51">
        <v>1384.67</v>
      </c>
      <c r="Q34" s="51">
        <f t="shared" si="7"/>
        <v>3230.9</v>
      </c>
      <c r="R34" s="50">
        <v>1699.12</v>
      </c>
      <c r="S34" s="50">
        <f t="shared" si="8"/>
        <v>3964.6099999999997</v>
      </c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</sheetData>
  <pageMargins left="0.196527777777778" right="0.196527777777778" top="0.78749999999999998" bottom="0.196527777777778" header="0.39374999999999999" footer="0.51180555555555496"/>
  <pageSetup paperSize="0" scale="0" firstPageNumber="0" orientation="portrait" usePrinterDefaults="0" horizontalDpi="0" verticalDpi="0" copies="0"/>
  <headerFooter>
    <oddHeader>&amp;C&amp;"Comic Sans MS,Fett"&amp;12Gehaltstabellen von  01.07.2005 bis 30.06.2006 / Tabelle stipendiali dal 01.07.2005 al 30.06.2006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zoomScaleNormal="100" workbookViewId="0">
      <selection activeCell="C37" sqref="C37"/>
    </sheetView>
  </sheetViews>
  <sheetFormatPr baseColWidth="10" defaultColWidth="9.140625" defaultRowHeight="12.75" x14ac:dyDescent="0.2"/>
  <cols>
    <col min="1" max="1" width="32.42578125"/>
    <col min="2" max="2" width="0" hidden="1"/>
    <col min="3" max="3" width="11.5703125"/>
    <col min="4" max="4" width="0" hidden="1"/>
    <col min="5" max="5" width="11.5703125"/>
    <col min="6" max="6" width="0" hidden="1"/>
    <col min="7" max="7" width="11.5703125"/>
    <col min="8" max="8" width="0" hidden="1"/>
    <col min="9" max="9" width="11.5703125"/>
    <col min="10" max="10" width="0" hidden="1"/>
    <col min="11" max="11" width="11.5703125"/>
    <col min="12" max="12" width="0" hidden="1"/>
    <col min="13" max="13" width="11.5703125"/>
    <col min="14" max="14" width="0" hidden="1"/>
    <col min="15" max="15" width="11.5703125"/>
    <col min="16" max="16" width="0" hidden="1"/>
    <col min="17" max="17" width="11.5703125"/>
    <col min="18" max="18" width="0" hidden="1"/>
    <col min="19" max="19" width="11.5703125"/>
    <col min="20" max="256" width="11.28515625"/>
    <col min="257" max="1025" width="11.5703125"/>
  </cols>
  <sheetData>
    <row r="1" spans="1:256" ht="15.75" customHeight="1" x14ac:dyDescent="0.25">
      <c r="A1" s="39"/>
      <c r="B1" s="9" t="s">
        <v>44</v>
      </c>
      <c r="C1" s="9" t="s">
        <v>44</v>
      </c>
      <c r="D1" s="8" t="s">
        <v>45</v>
      </c>
      <c r="E1" s="8" t="s">
        <v>45</v>
      </c>
      <c r="F1" s="9" t="s">
        <v>46</v>
      </c>
      <c r="G1" s="9" t="s">
        <v>46</v>
      </c>
      <c r="H1" s="8" t="s">
        <v>47</v>
      </c>
      <c r="I1" s="8" t="s">
        <v>47</v>
      </c>
      <c r="J1" s="9" t="s">
        <v>48</v>
      </c>
      <c r="K1" s="9" t="s">
        <v>48</v>
      </c>
      <c r="L1" s="8" t="s">
        <v>49</v>
      </c>
      <c r="M1" s="8" t="s">
        <v>49</v>
      </c>
      <c r="N1" s="9" t="s">
        <v>50</v>
      </c>
      <c r="O1" s="9" t="s">
        <v>50</v>
      </c>
      <c r="P1" s="8" t="s">
        <v>51</v>
      </c>
      <c r="Q1" s="8" t="s">
        <v>51</v>
      </c>
      <c r="R1" s="9" t="s">
        <v>52</v>
      </c>
      <c r="S1" s="9" t="s">
        <v>52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15.75" customHeight="1" x14ac:dyDescent="0.2">
      <c r="A2" s="81" t="s">
        <v>10</v>
      </c>
      <c r="B2" s="14"/>
      <c r="C2" s="14"/>
      <c r="D2" s="15"/>
      <c r="E2" s="15"/>
      <c r="F2" s="14"/>
      <c r="G2" s="14"/>
      <c r="H2" s="15"/>
      <c r="I2" s="15"/>
      <c r="J2" s="14"/>
      <c r="K2" s="14"/>
      <c r="L2" s="15"/>
      <c r="M2" s="15"/>
      <c r="N2" s="14"/>
      <c r="O2" s="14"/>
      <c r="P2" s="15"/>
      <c r="Q2" s="15"/>
      <c r="R2" s="14"/>
      <c r="S2" s="14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</row>
    <row r="3" spans="1:256" ht="15.75" customHeight="1" x14ac:dyDescent="0.25">
      <c r="A3" s="84" t="s">
        <v>11</v>
      </c>
      <c r="B3" s="47">
        <v>563.65</v>
      </c>
      <c r="C3" s="47">
        <f>B3</f>
        <v>563.65</v>
      </c>
      <c r="D3" s="48">
        <v>679.7</v>
      </c>
      <c r="E3" s="48">
        <f>D3</f>
        <v>679.7</v>
      </c>
      <c r="F3" s="47">
        <v>738.56</v>
      </c>
      <c r="G3" s="47">
        <f>F3</f>
        <v>738.56</v>
      </c>
      <c r="H3" s="48">
        <v>797.42</v>
      </c>
      <c r="I3" s="48">
        <f>H3</f>
        <v>797.42</v>
      </c>
      <c r="J3" s="47">
        <v>897.52</v>
      </c>
      <c r="K3" s="47">
        <f>J3</f>
        <v>897.52</v>
      </c>
      <c r="L3" s="48">
        <v>1001.6</v>
      </c>
      <c r="M3" s="48">
        <f>L3</f>
        <v>1001.6</v>
      </c>
      <c r="N3" s="47">
        <v>1187.82</v>
      </c>
      <c r="O3" s="47">
        <f>N3</f>
        <v>1187.82</v>
      </c>
      <c r="P3" s="48">
        <v>1450.86</v>
      </c>
      <c r="Q3" s="48">
        <f>P3</f>
        <v>1450.86</v>
      </c>
      <c r="R3" s="47">
        <v>1733.51</v>
      </c>
      <c r="S3" s="47">
        <f>R3</f>
        <v>1733.51</v>
      </c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ht="15.75" customHeight="1" x14ac:dyDescent="0.2">
      <c r="A4" s="101" t="s">
        <v>53</v>
      </c>
      <c r="B4" s="50">
        <v>33.82</v>
      </c>
      <c r="C4" s="50">
        <f>$C$3+B4</f>
        <v>597.47</v>
      </c>
      <c r="D4" s="51">
        <v>40.79</v>
      </c>
      <c r="E4" s="51">
        <f>$E$3+D4</f>
        <v>720.49</v>
      </c>
      <c r="F4" s="50">
        <v>44.32</v>
      </c>
      <c r="G4" s="50">
        <f>$G$3+F4</f>
        <v>782.88</v>
      </c>
      <c r="H4" s="51">
        <v>47.85</v>
      </c>
      <c r="I4" s="51">
        <f>$I$3+H4</f>
        <v>845.27</v>
      </c>
      <c r="J4" s="50">
        <v>53.85</v>
      </c>
      <c r="K4" s="50">
        <f>$K$3+J4</f>
        <v>951.37</v>
      </c>
      <c r="L4" s="51">
        <v>60.1</v>
      </c>
      <c r="M4" s="51">
        <f>$M$3+L4</f>
        <v>1061.7</v>
      </c>
      <c r="N4" s="50">
        <v>71.27</v>
      </c>
      <c r="O4" s="50">
        <f>$O$3+N4</f>
        <v>1259.0899999999999</v>
      </c>
      <c r="P4" s="51">
        <v>87.05</v>
      </c>
      <c r="Q4" s="51">
        <f>$Q$3+P4</f>
        <v>1537.9099999999999</v>
      </c>
      <c r="R4" s="50">
        <v>104.01</v>
      </c>
      <c r="S4" s="50">
        <f>$S$3+R4</f>
        <v>1837.52</v>
      </c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</row>
    <row r="5" spans="1:256" ht="15.75" customHeight="1" x14ac:dyDescent="0.2">
      <c r="A5" s="101" t="s">
        <v>54</v>
      </c>
      <c r="B5" s="50">
        <v>67.64</v>
      </c>
      <c r="C5" s="50">
        <f>$C$3+B5</f>
        <v>631.29</v>
      </c>
      <c r="D5" s="51">
        <v>81.569999999999993</v>
      </c>
      <c r="E5" s="51">
        <f>$E$3+D5</f>
        <v>761.27</v>
      </c>
      <c r="F5" s="50">
        <v>88.63</v>
      </c>
      <c r="G5" s="50">
        <f>$G$3+F5</f>
        <v>827.18999999999994</v>
      </c>
      <c r="H5" s="51">
        <v>95.69</v>
      </c>
      <c r="I5" s="51">
        <f>$I$3+H5</f>
        <v>893.1099999999999</v>
      </c>
      <c r="J5" s="50">
        <v>107.7</v>
      </c>
      <c r="K5" s="50">
        <f>$K$3+J5</f>
        <v>1005.22</v>
      </c>
      <c r="L5" s="51">
        <v>120.19</v>
      </c>
      <c r="M5" s="51">
        <f>$M$3+L5</f>
        <v>1121.79</v>
      </c>
      <c r="N5" s="50">
        <v>142.54</v>
      </c>
      <c r="O5" s="50">
        <f>$O$3+N5</f>
        <v>1330.36</v>
      </c>
      <c r="P5" s="51">
        <v>174.1</v>
      </c>
      <c r="Q5" s="51">
        <f>$Q$3+P5</f>
        <v>1624.9599999999998</v>
      </c>
      <c r="R5" s="50">
        <v>208.02</v>
      </c>
      <c r="S5" s="50">
        <f>$S$3+R5</f>
        <v>1941.53</v>
      </c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15.75" customHeight="1" x14ac:dyDescent="0.2">
      <c r="A6" s="101" t="s">
        <v>55</v>
      </c>
      <c r="B6" s="50">
        <v>101.46</v>
      </c>
      <c r="C6" s="50">
        <f>$C$3+B6</f>
        <v>665.11</v>
      </c>
      <c r="D6" s="51">
        <v>122.35</v>
      </c>
      <c r="E6" s="51">
        <f>$E$3+D6</f>
        <v>802.05000000000007</v>
      </c>
      <c r="F6" s="50">
        <v>132.94999999999999</v>
      </c>
      <c r="G6" s="50">
        <f>$G$3+F6</f>
        <v>871.51</v>
      </c>
      <c r="H6" s="51">
        <v>143.54</v>
      </c>
      <c r="I6" s="51">
        <f>$I$3+H6</f>
        <v>940.95999999999992</v>
      </c>
      <c r="J6" s="50">
        <v>161.55000000000001</v>
      </c>
      <c r="K6" s="50">
        <f>$K$3+J6</f>
        <v>1059.07</v>
      </c>
      <c r="L6" s="51">
        <v>180.29</v>
      </c>
      <c r="M6" s="51">
        <f>$M$3+L6</f>
        <v>1181.8900000000001</v>
      </c>
      <c r="N6" s="50">
        <v>213.81</v>
      </c>
      <c r="O6" s="50">
        <f>$O$3+N6</f>
        <v>1401.6299999999999</v>
      </c>
      <c r="P6" s="51">
        <v>261.14999999999998</v>
      </c>
      <c r="Q6" s="51">
        <f>$Q$3+P6</f>
        <v>1712.0099999999998</v>
      </c>
      <c r="R6" s="50">
        <v>312.04000000000002</v>
      </c>
      <c r="S6" s="50">
        <f>$S$3+R6</f>
        <v>2045.55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15.75" customHeight="1" x14ac:dyDescent="0.2">
      <c r="A7" s="89"/>
      <c r="B7" s="37"/>
      <c r="C7" s="37"/>
      <c r="D7" s="38"/>
      <c r="E7" s="38"/>
      <c r="F7" s="37"/>
      <c r="G7" s="37"/>
      <c r="H7" s="38"/>
      <c r="I7" s="38"/>
      <c r="J7" s="37"/>
      <c r="K7" s="37"/>
      <c r="L7" s="38"/>
      <c r="M7" s="38"/>
      <c r="N7" s="37"/>
      <c r="O7" s="37"/>
      <c r="P7" s="38"/>
      <c r="Q7" s="38"/>
      <c r="R7" s="37"/>
      <c r="S7" s="37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ht="15.75" customHeight="1" x14ac:dyDescent="0.2">
      <c r="A8" s="83" t="s">
        <v>56</v>
      </c>
      <c r="B8" s="44"/>
      <c r="C8" s="44"/>
      <c r="D8" s="45"/>
      <c r="E8" s="45"/>
      <c r="F8" s="44"/>
      <c r="G8" s="44"/>
      <c r="H8" s="45"/>
      <c r="I8" s="45"/>
      <c r="J8" s="44"/>
      <c r="K8" s="44"/>
      <c r="L8" s="45"/>
      <c r="M8" s="45"/>
      <c r="N8" s="44"/>
      <c r="O8" s="44"/>
      <c r="P8" s="45"/>
      <c r="Q8" s="45"/>
      <c r="R8" s="44"/>
      <c r="S8" s="44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</row>
    <row r="9" spans="1:256" ht="15.75" customHeight="1" x14ac:dyDescent="0.25">
      <c r="A9" s="84" t="s">
        <v>11</v>
      </c>
      <c r="B9" s="47">
        <v>706.64</v>
      </c>
      <c r="C9" s="47">
        <f>B9</f>
        <v>706.64</v>
      </c>
      <c r="D9" s="48">
        <v>870.25</v>
      </c>
      <c r="E9" s="48">
        <f>D9</f>
        <v>870.25</v>
      </c>
      <c r="F9" s="47">
        <v>952.72</v>
      </c>
      <c r="G9" s="47">
        <f>F9</f>
        <v>952.72</v>
      </c>
      <c r="H9" s="48">
        <v>1034.8499999999999</v>
      </c>
      <c r="I9" s="48">
        <f>H9</f>
        <v>1034.8499999999999</v>
      </c>
      <c r="J9" s="47">
        <v>1164.54</v>
      </c>
      <c r="K9" s="47">
        <f>J9</f>
        <v>1164.54</v>
      </c>
      <c r="L9" s="48">
        <v>1323.83</v>
      </c>
      <c r="M9" s="48">
        <f>L9</f>
        <v>1323.83</v>
      </c>
      <c r="N9" s="47">
        <v>1569.57</v>
      </c>
      <c r="O9" s="47">
        <f>N9</f>
        <v>1569.57</v>
      </c>
      <c r="P9" s="48">
        <v>1883.15</v>
      </c>
      <c r="Q9" s="48">
        <f>P9</f>
        <v>1883.15</v>
      </c>
      <c r="R9" s="47">
        <v>2310.8000000000002</v>
      </c>
      <c r="S9" s="47">
        <f>R9</f>
        <v>2310.8000000000002</v>
      </c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 ht="15.75" customHeight="1" x14ac:dyDescent="0.2">
      <c r="A10" s="101" t="s">
        <v>57</v>
      </c>
      <c r="B10" s="50">
        <v>21.2</v>
      </c>
      <c r="C10" s="50">
        <f t="shared" ref="C10:C34" si="0">$C$9+B10</f>
        <v>727.84</v>
      </c>
      <c r="D10" s="51">
        <v>26.1</v>
      </c>
      <c r="E10" s="51">
        <f t="shared" ref="E10:E34" si="1">$E$9+D10</f>
        <v>896.35</v>
      </c>
      <c r="F10" s="50">
        <v>28.58</v>
      </c>
      <c r="G10" s="50">
        <f t="shared" ref="G10:G34" si="2">$G$9+F10</f>
        <v>981.30000000000007</v>
      </c>
      <c r="H10" s="51">
        <v>31.05</v>
      </c>
      <c r="I10" s="51">
        <f t="shared" ref="I10:I34" si="3">$I$9+H10</f>
        <v>1065.8999999999999</v>
      </c>
      <c r="J10" s="50">
        <v>34.94</v>
      </c>
      <c r="K10" s="50">
        <f t="shared" ref="K10:K34" si="4">$K$9+J10</f>
        <v>1199.48</v>
      </c>
      <c r="L10" s="51">
        <v>39.71</v>
      </c>
      <c r="M10" s="51">
        <f t="shared" ref="M10:M34" si="5">$M$9+L10</f>
        <v>1363.54</v>
      </c>
      <c r="N10" s="50">
        <v>47.09</v>
      </c>
      <c r="O10" s="50">
        <f t="shared" ref="O10:O34" si="6">$O$9+N10</f>
        <v>1616.6599999999999</v>
      </c>
      <c r="P10" s="51">
        <v>56.5</v>
      </c>
      <c r="Q10" s="51">
        <f t="shared" ref="Q10:Q34" si="7">$Q$9+P10</f>
        <v>1939.65</v>
      </c>
      <c r="R10" s="50">
        <v>69.319999999999993</v>
      </c>
      <c r="S10" s="50">
        <f t="shared" ref="S10:S34" si="8">$S$9+R10</f>
        <v>2380.1200000000003</v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ht="15.75" customHeight="1" x14ac:dyDescent="0.2">
      <c r="A11" s="101" t="s">
        <v>58</v>
      </c>
      <c r="B11" s="50">
        <v>42.4</v>
      </c>
      <c r="C11" s="50">
        <f t="shared" si="0"/>
        <v>749.04</v>
      </c>
      <c r="D11" s="51">
        <v>52.21</v>
      </c>
      <c r="E11" s="51">
        <f t="shared" si="1"/>
        <v>922.46</v>
      </c>
      <c r="F11" s="50">
        <v>57.16</v>
      </c>
      <c r="G11" s="50">
        <f t="shared" si="2"/>
        <v>1009.88</v>
      </c>
      <c r="H11" s="51">
        <v>62.1</v>
      </c>
      <c r="I11" s="51">
        <f t="shared" si="3"/>
        <v>1096.9499999999998</v>
      </c>
      <c r="J11" s="50">
        <v>69.87</v>
      </c>
      <c r="K11" s="50">
        <f t="shared" si="4"/>
        <v>1234.4099999999999</v>
      </c>
      <c r="L11" s="51">
        <v>79.430000000000007</v>
      </c>
      <c r="M11" s="51">
        <f t="shared" si="5"/>
        <v>1403.26</v>
      </c>
      <c r="N11" s="50">
        <v>94.18</v>
      </c>
      <c r="O11" s="50">
        <f t="shared" si="6"/>
        <v>1663.75</v>
      </c>
      <c r="P11" s="51">
        <v>112.99</v>
      </c>
      <c r="Q11" s="51">
        <f t="shared" si="7"/>
        <v>1996.14</v>
      </c>
      <c r="R11" s="50">
        <v>138.63999999999999</v>
      </c>
      <c r="S11" s="50">
        <f t="shared" si="8"/>
        <v>2449.44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.75" customHeight="1" x14ac:dyDescent="0.2">
      <c r="A12" s="101" t="s">
        <v>59</v>
      </c>
      <c r="B12" s="50">
        <v>63.6</v>
      </c>
      <c r="C12" s="50">
        <f t="shared" si="0"/>
        <v>770.24</v>
      </c>
      <c r="D12" s="51">
        <v>78.319999999999993</v>
      </c>
      <c r="E12" s="51">
        <f t="shared" si="1"/>
        <v>948.56999999999994</v>
      </c>
      <c r="F12" s="50">
        <v>85.74</v>
      </c>
      <c r="G12" s="50">
        <f t="shared" si="2"/>
        <v>1038.46</v>
      </c>
      <c r="H12" s="51">
        <v>93.14</v>
      </c>
      <c r="I12" s="51">
        <f t="shared" si="3"/>
        <v>1127.99</v>
      </c>
      <c r="J12" s="50">
        <v>104.81</v>
      </c>
      <c r="K12" s="50">
        <f t="shared" si="4"/>
        <v>1269.3499999999999</v>
      </c>
      <c r="L12" s="51">
        <v>119.14</v>
      </c>
      <c r="M12" s="51">
        <f t="shared" si="5"/>
        <v>1442.97</v>
      </c>
      <c r="N12" s="50">
        <v>141.26</v>
      </c>
      <c r="O12" s="50">
        <f t="shared" si="6"/>
        <v>1710.83</v>
      </c>
      <c r="P12" s="51">
        <v>169.49</v>
      </c>
      <c r="Q12" s="51">
        <f t="shared" si="7"/>
        <v>2052.6400000000003</v>
      </c>
      <c r="R12" s="50">
        <v>207.97</v>
      </c>
      <c r="S12" s="50">
        <f t="shared" si="8"/>
        <v>2518.77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ht="15.75" customHeight="1" x14ac:dyDescent="0.2">
      <c r="A13" s="101" t="s">
        <v>60</v>
      </c>
      <c r="B13" s="50">
        <v>84.8</v>
      </c>
      <c r="C13" s="50">
        <f t="shared" si="0"/>
        <v>791.43999999999994</v>
      </c>
      <c r="D13" s="51">
        <v>104.43</v>
      </c>
      <c r="E13" s="51">
        <f t="shared" si="1"/>
        <v>974.68000000000006</v>
      </c>
      <c r="F13" s="50">
        <v>114.32</v>
      </c>
      <c r="G13" s="50">
        <f t="shared" si="2"/>
        <v>1067.04</v>
      </c>
      <c r="H13" s="51">
        <v>124.19</v>
      </c>
      <c r="I13" s="51">
        <f t="shared" si="3"/>
        <v>1159.04</v>
      </c>
      <c r="J13" s="50">
        <v>139.75</v>
      </c>
      <c r="K13" s="50">
        <f t="shared" si="4"/>
        <v>1304.29</v>
      </c>
      <c r="L13" s="51">
        <v>158.86000000000001</v>
      </c>
      <c r="M13" s="51">
        <f t="shared" si="5"/>
        <v>1482.69</v>
      </c>
      <c r="N13" s="50">
        <v>188.35</v>
      </c>
      <c r="O13" s="50">
        <f t="shared" si="6"/>
        <v>1757.9199999999998</v>
      </c>
      <c r="P13" s="51">
        <v>225.98</v>
      </c>
      <c r="Q13" s="51">
        <f t="shared" si="7"/>
        <v>2109.13</v>
      </c>
      <c r="R13" s="50">
        <v>277.29000000000002</v>
      </c>
      <c r="S13" s="50">
        <f t="shared" si="8"/>
        <v>2588.09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15.75" customHeight="1" x14ac:dyDescent="0.2">
      <c r="A14" s="101" t="s">
        <v>61</v>
      </c>
      <c r="B14" s="50">
        <v>106</v>
      </c>
      <c r="C14" s="50">
        <f t="shared" si="0"/>
        <v>812.64</v>
      </c>
      <c r="D14" s="51">
        <v>130.53</v>
      </c>
      <c r="E14" s="51">
        <f t="shared" si="1"/>
        <v>1000.78</v>
      </c>
      <c r="F14" s="50">
        <v>142.9</v>
      </c>
      <c r="G14" s="50">
        <f t="shared" si="2"/>
        <v>1095.6200000000001</v>
      </c>
      <c r="H14" s="51">
        <v>155.22999999999999</v>
      </c>
      <c r="I14" s="51">
        <f t="shared" si="3"/>
        <v>1190.08</v>
      </c>
      <c r="J14" s="50">
        <v>174.68</v>
      </c>
      <c r="K14" s="50">
        <f t="shared" si="4"/>
        <v>1339.22</v>
      </c>
      <c r="L14" s="51">
        <v>198.57</v>
      </c>
      <c r="M14" s="51">
        <f t="shared" si="5"/>
        <v>1522.3999999999999</v>
      </c>
      <c r="N14" s="50">
        <v>235.44</v>
      </c>
      <c r="O14" s="50">
        <f t="shared" si="6"/>
        <v>1805.01</v>
      </c>
      <c r="P14" s="51">
        <v>282.48</v>
      </c>
      <c r="Q14" s="51">
        <f t="shared" si="7"/>
        <v>2165.63</v>
      </c>
      <c r="R14" s="50">
        <v>346.62</v>
      </c>
      <c r="S14" s="50">
        <f t="shared" si="8"/>
        <v>2657.42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5.75" customHeight="1" x14ac:dyDescent="0.2">
      <c r="A15" s="101" t="s">
        <v>62</v>
      </c>
      <c r="B15" s="50">
        <v>127.2</v>
      </c>
      <c r="C15" s="50">
        <f t="shared" si="0"/>
        <v>833.84</v>
      </c>
      <c r="D15" s="51">
        <v>156.63999999999999</v>
      </c>
      <c r="E15" s="51">
        <f t="shared" si="1"/>
        <v>1026.8899999999999</v>
      </c>
      <c r="F15" s="50">
        <v>171.49</v>
      </c>
      <c r="G15" s="50">
        <f t="shared" si="2"/>
        <v>1124.21</v>
      </c>
      <c r="H15" s="51">
        <v>186.28</v>
      </c>
      <c r="I15" s="51">
        <f t="shared" si="3"/>
        <v>1221.1299999999999</v>
      </c>
      <c r="J15" s="50">
        <v>209.62</v>
      </c>
      <c r="K15" s="50">
        <f t="shared" si="4"/>
        <v>1374.1599999999999</v>
      </c>
      <c r="L15" s="51">
        <v>238.29</v>
      </c>
      <c r="M15" s="51">
        <f t="shared" si="5"/>
        <v>1562.12</v>
      </c>
      <c r="N15" s="50">
        <v>282.52</v>
      </c>
      <c r="O15" s="50">
        <f t="shared" si="6"/>
        <v>1852.09</v>
      </c>
      <c r="P15" s="51">
        <v>338.97</v>
      </c>
      <c r="Q15" s="51">
        <f t="shared" si="7"/>
        <v>2222.12</v>
      </c>
      <c r="R15" s="50">
        <v>415.94</v>
      </c>
      <c r="S15" s="50">
        <f t="shared" si="8"/>
        <v>2726.7400000000002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15.75" customHeight="1" x14ac:dyDescent="0.2">
      <c r="A16" s="101" t="s">
        <v>63</v>
      </c>
      <c r="B16" s="50">
        <v>148.4</v>
      </c>
      <c r="C16" s="50">
        <f t="shared" si="0"/>
        <v>855.04</v>
      </c>
      <c r="D16" s="51">
        <v>182.75</v>
      </c>
      <c r="E16" s="51">
        <f t="shared" si="1"/>
        <v>1053</v>
      </c>
      <c r="F16" s="50">
        <v>200.07</v>
      </c>
      <c r="G16" s="50">
        <f t="shared" si="2"/>
        <v>1152.79</v>
      </c>
      <c r="H16" s="51">
        <v>217.32</v>
      </c>
      <c r="I16" s="51">
        <f t="shared" si="3"/>
        <v>1252.1699999999998</v>
      </c>
      <c r="J16" s="50">
        <v>244.56</v>
      </c>
      <c r="K16" s="50">
        <f t="shared" si="4"/>
        <v>1409.1</v>
      </c>
      <c r="L16" s="51">
        <v>278</v>
      </c>
      <c r="M16" s="51">
        <f t="shared" si="5"/>
        <v>1601.83</v>
      </c>
      <c r="N16" s="50">
        <v>329.61</v>
      </c>
      <c r="O16" s="50">
        <f t="shared" si="6"/>
        <v>1899.1799999999998</v>
      </c>
      <c r="P16" s="51">
        <v>395.47</v>
      </c>
      <c r="Q16" s="51">
        <f t="shared" si="7"/>
        <v>2278.62</v>
      </c>
      <c r="R16" s="50">
        <v>485.26</v>
      </c>
      <c r="S16" s="50">
        <f t="shared" si="8"/>
        <v>2796.0600000000004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5.75" customHeight="1" x14ac:dyDescent="0.2">
      <c r="A17" s="101" t="s">
        <v>64</v>
      </c>
      <c r="B17" s="50">
        <v>169.59</v>
      </c>
      <c r="C17" s="50">
        <f t="shared" si="0"/>
        <v>876.23</v>
      </c>
      <c r="D17" s="51">
        <v>208.86</v>
      </c>
      <c r="E17" s="51">
        <f t="shared" si="1"/>
        <v>1079.1100000000001</v>
      </c>
      <c r="F17" s="50">
        <v>228.65</v>
      </c>
      <c r="G17" s="50">
        <f t="shared" si="2"/>
        <v>1181.3700000000001</v>
      </c>
      <c r="H17" s="51">
        <v>248.37</v>
      </c>
      <c r="I17" s="51">
        <f t="shared" si="3"/>
        <v>1283.2199999999998</v>
      </c>
      <c r="J17" s="50">
        <v>279.49</v>
      </c>
      <c r="K17" s="50">
        <f t="shared" si="4"/>
        <v>1444.03</v>
      </c>
      <c r="L17" s="51">
        <v>317.72000000000003</v>
      </c>
      <c r="M17" s="51">
        <f t="shared" si="5"/>
        <v>1641.55</v>
      </c>
      <c r="N17" s="50">
        <v>376.7</v>
      </c>
      <c r="O17" s="50">
        <f t="shared" si="6"/>
        <v>1946.27</v>
      </c>
      <c r="P17" s="51">
        <v>451.96</v>
      </c>
      <c r="Q17" s="51">
        <f t="shared" si="7"/>
        <v>2335.11</v>
      </c>
      <c r="R17" s="50">
        <v>554.59</v>
      </c>
      <c r="S17" s="50">
        <f t="shared" si="8"/>
        <v>2865.3900000000003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5.75" customHeight="1" x14ac:dyDescent="0.2">
      <c r="A18" s="101" t="s">
        <v>65</v>
      </c>
      <c r="B18" s="50">
        <v>190.79</v>
      </c>
      <c r="C18" s="50">
        <f t="shared" si="0"/>
        <v>897.43</v>
      </c>
      <c r="D18" s="51">
        <v>234.96</v>
      </c>
      <c r="E18" s="51">
        <f t="shared" si="1"/>
        <v>1105.21</v>
      </c>
      <c r="F18" s="50">
        <v>257.23</v>
      </c>
      <c r="G18" s="50">
        <f t="shared" si="2"/>
        <v>1209.95</v>
      </c>
      <c r="H18" s="51">
        <v>279.41000000000003</v>
      </c>
      <c r="I18" s="51">
        <f t="shared" si="3"/>
        <v>1314.26</v>
      </c>
      <c r="J18" s="50">
        <v>314.43</v>
      </c>
      <c r="K18" s="50">
        <f t="shared" si="4"/>
        <v>1478.97</v>
      </c>
      <c r="L18" s="51">
        <v>357.43</v>
      </c>
      <c r="M18" s="51">
        <f t="shared" si="5"/>
        <v>1681.26</v>
      </c>
      <c r="N18" s="50">
        <v>423.79</v>
      </c>
      <c r="O18" s="50">
        <f t="shared" si="6"/>
        <v>1993.36</v>
      </c>
      <c r="P18" s="51">
        <v>508.46</v>
      </c>
      <c r="Q18" s="51">
        <f t="shared" si="7"/>
        <v>2391.61</v>
      </c>
      <c r="R18" s="50">
        <v>623.91</v>
      </c>
      <c r="S18" s="50">
        <f t="shared" si="8"/>
        <v>2934.71</v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15.75" customHeight="1" x14ac:dyDescent="0.2">
      <c r="A19" s="101" t="s">
        <v>66</v>
      </c>
      <c r="B19" s="50">
        <v>211.99</v>
      </c>
      <c r="C19" s="50">
        <f t="shared" si="0"/>
        <v>918.63</v>
      </c>
      <c r="D19" s="51">
        <v>261.07</v>
      </c>
      <c r="E19" s="51">
        <f t="shared" si="1"/>
        <v>1131.32</v>
      </c>
      <c r="F19" s="50">
        <v>285.81</v>
      </c>
      <c r="G19" s="50">
        <f t="shared" si="2"/>
        <v>1238.53</v>
      </c>
      <c r="H19" s="51">
        <v>310.45999999999998</v>
      </c>
      <c r="I19" s="51">
        <f t="shared" si="3"/>
        <v>1345.31</v>
      </c>
      <c r="J19" s="50">
        <v>349.36</v>
      </c>
      <c r="K19" s="50">
        <f t="shared" si="4"/>
        <v>1513.9</v>
      </c>
      <c r="L19" s="51">
        <v>397.15</v>
      </c>
      <c r="M19" s="51">
        <f t="shared" si="5"/>
        <v>1720.98</v>
      </c>
      <c r="N19" s="50">
        <v>470.87</v>
      </c>
      <c r="O19" s="50">
        <f t="shared" si="6"/>
        <v>2040.44</v>
      </c>
      <c r="P19" s="51">
        <v>564.95000000000005</v>
      </c>
      <c r="Q19" s="51">
        <f t="shared" si="7"/>
        <v>2448.1000000000004</v>
      </c>
      <c r="R19" s="50">
        <v>693.23</v>
      </c>
      <c r="S19" s="50">
        <f t="shared" si="8"/>
        <v>3004.03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15.75" customHeight="1" x14ac:dyDescent="0.2">
      <c r="A20" s="101" t="s">
        <v>67</v>
      </c>
      <c r="B20" s="50">
        <v>233.19</v>
      </c>
      <c r="C20" s="50">
        <f t="shared" si="0"/>
        <v>939.82999999999993</v>
      </c>
      <c r="D20" s="51">
        <v>287.18</v>
      </c>
      <c r="E20" s="51">
        <f t="shared" si="1"/>
        <v>1157.43</v>
      </c>
      <c r="F20" s="50">
        <v>314.39</v>
      </c>
      <c r="G20" s="50">
        <f t="shared" si="2"/>
        <v>1267.1100000000001</v>
      </c>
      <c r="H20" s="51">
        <v>341.51</v>
      </c>
      <c r="I20" s="51">
        <f t="shared" si="3"/>
        <v>1376.36</v>
      </c>
      <c r="J20" s="50">
        <v>384.3</v>
      </c>
      <c r="K20" s="50">
        <f t="shared" si="4"/>
        <v>1548.84</v>
      </c>
      <c r="L20" s="51">
        <v>436.86</v>
      </c>
      <c r="M20" s="51">
        <f t="shared" si="5"/>
        <v>1760.69</v>
      </c>
      <c r="N20" s="50">
        <v>517.96</v>
      </c>
      <c r="O20" s="50">
        <f t="shared" si="6"/>
        <v>2087.5299999999997</v>
      </c>
      <c r="P20" s="51">
        <v>621.45000000000005</v>
      </c>
      <c r="Q20" s="51">
        <f t="shared" si="7"/>
        <v>2504.6000000000004</v>
      </c>
      <c r="R20" s="50">
        <v>762.56</v>
      </c>
      <c r="S20" s="50">
        <f t="shared" si="8"/>
        <v>3073.36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15.75" customHeight="1" x14ac:dyDescent="0.2">
      <c r="A21" s="101" t="s">
        <v>68</v>
      </c>
      <c r="B21" s="50">
        <v>254.39</v>
      </c>
      <c r="C21" s="50">
        <f t="shared" si="0"/>
        <v>961.03</v>
      </c>
      <c r="D21" s="51">
        <v>313.29000000000002</v>
      </c>
      <c r="E21" s="51">
        <f t="shared" si="1"/>
        <v>1183.54</v>
      </c>
      <c r="F21" s="50">
        <v>342.97</v>
      </c>
      <c r="G21" s="50">
        <f t="shared" si="2"/>
        <v>1295.69</v>
      </c>
      <c r="H21" s="51">
        <v>372.55</v>
      </c>
      <c r="I21" s="51">
        <f t="shared" si="3"/>
        <v>1407.3999999999999</v>
      </c>
      <c r="J21" s="50">
        <v>419.24</v>
      </c>
      <c r="K21" s="50">
        <f t="shared" si="4"/>
        <v>1583.78</v>
      </c>
      <c r="L21" s="51">
        <v>476.58</v>
      </c>
      <c r="M21" s="51">
        <f t="shared" si="5"/>
        <v>1800.4099999999999</v>
      </c>
      <c r="N21" s="50">
        <v>565.04999999999995</v>
      </c>
      <c r="O21" s="50">
        <f t="shared" si="6"/>
        <v>2134.62</v>
      </c>
      <c r="P21" s="51">
        <v>677.94</v>
      </c>
      <c r="Q21" s="51">
        <f t="shared" si="7"/>
        <v>2561.09</v>
      </c>
      <c r="R21" s="50">
        <v>831.88</v>
      </c>
      <c r="S21" s="50">
        <f t="shared" si="8"/>
        <v>3142.6800000000003</v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15.75" customHeight="1" x14ac:dyDescent="0.2">
      <c r="A22" s="101" t="s">
        <v>69</v>
      </c>
      <c r="B22" s="50">
        <v>275.58999999999997</v>
      </c>
      <c r="C22" s="50">
        <f t="shared" si="0"/>
        <v>982.23</v>
      </c>
      <c r="D22" s="51">
        <v>339.39</v>
      </c>
      <c r="E22" s="51">
        <f t="shared" si="1"/>
        <v>1209.6399999999999</v>
      </c>
      <c r="F22" s="50">
        <v>371.56</v>
      </c>
      <c r="G22" s="50">
        <f t="shared" si="2"/>
        <v>1324.28</v>
      </c>
      <c r="H22" s="51">
        <v>403.6</v>
      </c>
      <c r="I22" s="51">
        <f t="shared" si="3"/>
        <v>1438.4499999999998</v>
      </c>
      <c r="J22" s="50">
        <v>454.17</v>
      </c>
      <c r="K22" s="50">
        <f t="shared" si="4"/>
        <v>1618.71</v>
      </c>
      <c r="L22" s="51">
        <v>516.29</v>
      </c>
      <c r="M22" s="51">
        <f t="shared" si="5"/>
        <v>1840.12</v>
      </c>
      <c r="N22" s="50">
        <v>612.13</v>
      </c>
      <c r="O22" s="50">
        <f t="shared" si="6"/>
        <v>2181.6999999999998</v>
      </c>
      <c r="P22" s="51">
        <v>734.43</v>
      </c>
      <c r="Q22" s="51">
        <f t="shared" si="7"/>
        <v>2617.58</v>
      </c>
      <c r="R22" s="50">
        <v>901.21</v>
      </c>
      <c r="S22" s="50">
        <f t="shared" si="8"/>
        <v>3212.01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15.75" customHeight="1" x14ac:dyDescent="0.2">
      <c r="A23" s="101" t="s">
        <v>70</v>
      </c>
      <c r="B23" s="50">
        <v>296.79000000000002</v>
      </c>
      <c r="C23" s="50">
        <f t="shared" si="0"/>
        <v>1003.4300000000001</v>
      </c>
      <c r="D23" s="51">
        <v>365.5</v>
      </c>
      <c r="E23" s="51">
        <f t="shared" si="1"/>
        <v>1235.75</v>
      </c>
      <c r="F23" s="50">
        <v>400.14</v>
      </c>
      <c r="G23" s="50">
        <f t="shared" si="2"/>
        <v>1352.8600000000001</v>
      </c>
      <c r="H23" s="51">
        <v>434.64</v>
      </c>
      <c r="I23" s="51">
        <f t="shared" si="3"/>
        <v>1469.4899999999998</v>
      </c>
      <c r="J23" s="50">
        <v>489.11</v>
      </c>
      <c r="K23" s="50">
        <f t="shared" si="4"/>
        <v>1653.65</v>
      </c>
      <c r="L23" s="51">
        <v>556.01</v>
      </c>
      <c r="M23" s="51">
        <f t="shared" si="5"/>
        <v>1879.84</v>
      </c>
      <c r="N23" s="50">
        <v>659.22</v>
      </c>
      <c r="O23" s="50">
        <f t="shared" si="6"/>
        <v>2228.79</v>
      </c>
      <c r="P23" s="51">
        <v>790.93</v>
      </c>
      <c r="Q23" s="51">
        <f t="shared" si="7"/>
        <v>2674.08</v>
      </c>
      <c r="R23" s="50">
        <v>970.53</v>
      </c>
      <c r="S23" s="50">
        <f t="shared" si="8"/>
        <v>3281.33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15.75" customHeight="1" x14ac:dyDescent="0.2">
      <c r="A24" s="101" t="s">
        <v>71</v>
      </c>
      <c r="B24" s="50">
        <v>317.99</v>
      </c>
      <c r="C24" s="50">
        <f t="shared" si="0"/>
        <v>1024.6300000000001</v>
      </c>
      <c r="D24" s="51">
        <v>391.61</v>
      </c>
      <c r="E24" s="51">
        <f t="shared" si="1"/>
        <v>1261.8600000000001</v>
      </c>
      <c r="F24" s="50">
        <v>428.72</v>
      </c>
      <c r="G24" s="50">
        <f t="shared" si="2"/>
        <v>1381.44</v>
      </c>
      <c r="H24" s="51">
        <v>465.69</v>
      </c>
      <c r="I24" s="51">
        <f t="shared" si="3"/>
        <v>1500.54</v>
      </c>
      <c r="J24" s="50">
        <v>524.04999999999995</v>
      </c>
      <c r="K24" s="50">
        <f t="shared" si="4"/>
        <v>1688.59</v>
      </c>
      <c r="L24" s="51">
        <v>595.72</v>
      </c>
      <c r="M24" s="51">
        <f t="shared" si="5"/>
        <v>1919.55</v>
      </c>
      <c r="N24" s="50">
        <v>706.31</v>
      </c>
      <c r="O24" s="50">
        <f t="shared" si="6"/>
        <v>2275.88</v>
      </c>
      <c r="P24" s="51">
        <v>847.42</v>
      </c>
      <c r="Q24" s="51">
        <f t="shared" si="7"/>
        <v>2730.57</v>
      </c>
      <c r="R24" s="50">
        <v>1039.8499999999999</v>
      </c>
      <c r="S24" s="50">
        <f t="shared" si="8"/>
        <v>3350.65</v>
      </c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5.75" customHeight="1" x14ac:dyDescent="0.2">
      <c r="A25" s="101" t="s">
        <v>72</v>
      </c>
      <c r="B25" s="50">
        <v>339.19</v>
      </c>
      <c r="C25" s="50">
        <f t="shared" si="0"/>
        <v>1045.83</v>
      </c>
      <c r="D25" s="51">
        <v>417.72</v>
      </c>
      <c r="E25" s="51">
        <f t="shared" si="1"/>
        <v>1287.97</v>
      </c>
      <c r="F25" s="50">
        <v>457.31</v>
      </c>
      <c r="G25" s="50">
        <f t="shared" si="2"/>
        <v>1410.03</v>
      </c>
      <c r="H25" s="51">
        <v>496.73</v>
      </c>
      <c r="I25" s="51">
        <f t="shared" si="3"/>
        <v>1531.58</v>
      </c>
      <c r="J25" s="50">
        <v>558.98</v>
      </c>
      <c r="K25" s="50">
        <f t="shared" si="4"/>
        <v>1723.52</v>
      </c>
      <c r="L25" s="51">
        <v>635.44000000000005</v>
      </c>
      <c r="M25" s="51">
        <f t="shared" si="5"/>
        <v>1959.27</v>
      </c>
      <c r="N25" s="50">
        <v>753.39</v>
      </c>
      <c r="O25" s="50">
        <f t="shared" si="6"/>
        <v>2322.96</v>
      </c>
      <c r="P25" s="51">
        <v>903.91</v>
      </c>
      <c r="Q25" s="51">
        <f t="shared" si="7"/>
        <v>2787.06</v>
      </c>
      <c r="R25" s="50">
        <v>1109.18</v>
      </c>
      <c r="S25" s="50">
        <f t="shared" si="8"/>
        <v>3419.9800000000005</v>
      </c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15.75" customHeight="1" x14ac:dyDescent="0.2">
      <c r="A26" s="101" t="s">
        <v>73</v>
      </c>
      <c r="B26" s="50">
        <v>360.39</v>
      </c>
      <c r="C26" s="50">
        <f t="shared" si="0"/>
        <v>1067.03</v>
      </c>
      <c r="D26" s="51">
        <v>443.83</v>
      </c>
      <c r="E26" s="51">
        <f t="shared" si="1"/>
        <v>1314.08</v>
      </c>
      <c r="F26" s="50">
        <v>485.89</v>
      </c>
      <c r="G26" s="50">
        <f t="shared" si="2"/>
        <v>1438.6100000000001</v>
      </c>
      <c r="H26" s="51">
        <v>527.77</v>
      </c>
      <c r="I26" s="51">
        <f t="shared" si="3"/>
        <v>1562.62</v>
      </c>
      <c r="J26" s="50">
        <v>593.91999999999996</v>
      </c>
      <c r="K26" s="50">
        <f t="shared" si="4"/>
        <v>1758.46</v>
      </c>
      <c r="L26" s="51">
        <v>675.15</v>
      </c>
      <c r="M26" s="51">
        <f t="shared" si="5"/>
        <v>1998.98</v>
      </c>
      <c r="N26" s="50">
        <v>800.48</v>
      </c>
      <c r="O26" s="50">
        <f t="shared" si="6"/>
        <v>2370.0500000000002</v>
      </c>
      <c r="P26" s="51">
        <v>960.41</v>
      </c>
      <c r="Q26" s="51">
        <f t="shared" si="7"/>
        <v>2843.56</v>
      </c>
      <c r="R26" s="50">
        <v>1178.51</v>
      </c>
      <c r="S26" s="50">
        <f t="shared" si="8"/>
        <v>3489.3100000000004</v>
      </c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5.75" customHeight="1" x14ac:dyDescent="0.2">
      <c r="A27" s="101" t="s">
        <v>74</v>
      </c>
      <c r="B27" s="50">
        <v>381.59</v>
      </c>
      <c r="C27" s="50">
        <f t="shared" si="0"/>
        <v>1088.23</v>
      </c>
      <c r="D27" s="51">
        <v>469.94</v>
      </c>
      <c r="E27" s="51">
        <f t="shared" si="1"/>
        <v>1340.19</v>
      </c>
      <c r="F27" s="50">
        <v>514.47</v>
      </c>
      <c r="G27" s="50">
        <f t="shared" si="2"/>
        <v>1467.19</v>
      </c>
      <c r="H27" s="51">
        <v>558.82000000000005</v>
      </c>
      <c r="I27" s="51">
        <f t="shared" si="3"/>
        <v>1593.67</v>
      </c>
      <c r="J27" s="50">
        <v>628.85</v>
      </c>
      <c r="K27" s="50">
        <f t="shared" si="4"/>
        <v>1793.3899999999999</v>
      </c>
      <c r="L27" s="51">
        <v>714.87</v>
      </c>
      <c r="M27" s="51">
        <f t="shared" si="5"/>
        <v>2038.6999999999998</v>
      </c>
      <c r="N27" s="50">
        <v>847.57</v>
      </c>
      <c r="O27" s="50">
        <f t="shared" si="6"/>
        <v>2417.14</v>
      </c>
      <c r="P27" s="51">
        <v>1016.9</v>
      </c>
      <c r="Q27" s="51">
        <f t="shared" si="7"/>
        <v>2900.05</v>
      </c>
      <c r="R27" s="50">
        <v>1247.83</v>
      </c>
      <c r="S27" s="50">
        <f t="shared" si="8"/>
        <v>3558.63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15.75" customHeight="1" x14ac:dyDescent="0.2">
      <c r="A28" s="101" t="s">
        <v>75</v>
      </c>
      <c r="B28" s="50">
        <v>402.78</v>
      </c>
      <c r="C28" s="50">
        <f t="shared" si="0"/>
        <v>1109.42</v>
      </c>
      <c r="D28" s="51">
        <v>496.04</v>
      </c>
      <c r="E28" s="51">
        <f t="shared" si="1"/>
        <v>1366.29</v>
      </c>
      <c r="F28" s="50">
        <v>543.04999999999995</v>
      </c>
      <c r="G28" s="50">
        <f t="shared" si="2"/>
        <v>1495.77</v>
      </c>
      <c r="H28" s="51">
        <v>589.86</v>
      </c>
      <c r="I28" s="51">
        <f t="shared" si="3"/>
        <v>1624.71</v>
      </c>
      <c r="J28" s="50">
        <v>663.79</v>
      </c>
      <c r="K28" s="50">
        <f t="shared" si="4"/>
        <v>1828.33</v>
      </c>
      <c r="L28" s="51">
        <v>754.58</v>
      </c>
      <c r="M28" s="51">
        <f t="shared" si="5"/>
        <v>2078.41</v>
      </c>
      <c r="N28" s="50">
        <v>894.65</v>
      </c>
      <c r="O28" s="50">
        <f t="shared" si="6"/>
        <v>2464.2199999999998</v>
      </c>
      <c r="P28" s="51">
        <v>1073.4000000000001</v>
      </c>
      <c r="Q28" s="51">
        <f t="shared" si="7"/>
        <v>2956.55</v>
      </c>
      <c r="R28" s="50">
        <v>1317.16</v>
      </c>
      <c r="S28" s="50">
        <f t="shared" si="8"/>
        <v>3627.96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5.75" customHeight="1" x14ac:dyDescent="0.2">
      <c r="A29" s="101" t="s">
        <v>76</v>
      </c>
      <c r="B29" s="50">
        <v>423.98</v>
      </c>
      <c r="C29" s="50">
        <f t="shared" si="0"/>
        <v>1130.6199999999999</v>
      </c>
      <c r="D29" s="51">
        <v>522.15</v>
      </c>
      <c r="E29" s="51">
        <f t="shared" si="1"/>
        <v>1392.4</v>
      </c>
      <c r="F29" s="50">
        <v>571.63</v>
      </c>
      <c r="G29" s="50">
        <f t="shared" si="2"/>
        <v>1524.35</v>
      </c>
      <c r="H29" s="51">
        <v>620.91</v>
      </c>
      <c r="I29" s="51">
        <f t="shared" si="3"/>
        <v>1655.7599999999998</v>
      </c>
      <c r="J29" s="50">
        <v>698.72</v>
      </c>
      <c r="K29" s="50">
        <f t="shared" si="4"/>
        <v>1863.26</v>
      </c>
      <c r="L29" s="51">
        <v>794.3</v>
      </c>
      <c r="M29" s="51">
        <f t="shared" si="5"/>
        <v>2118.13</v>
      </c>
      <c r="N29" s="50">
        <v>941.74</v>
      </c>
      <c r="O29" s="50">
        <f t="shared" si="6"/>
        <v>2511.31</v>
      </c>
      <c r="P29" s="51">
        <v>1129.8900000000001</v>
      </c>
      <c r="Q29" s="51">
        <f t="shared" si="7"/>
        <v>3013.04</v>
      </c>
      <c r="R29" s="50">
        <v>1386.48</v>
      </c>
      <c r="S29" s="50">
        <f t="shared" si="8"/>
        <v>3697.28</v>
      </c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15.75" customHeight="1" x14ac:dyDescent="0.2">
      <c r="A30" s="101" t="s">
        <v>77</v>
      </c>
      <c r="B30" s="50">
        <v>445.18</v>
      </c>
      <c r="C30" s="50">
        <f t="shared" si="0"/>
        <v>1151.82</v>
      </c>
      <c r="D30" s="51">
        <v>548.26</v>
      </c>
      <c r="E30" s="51">
        <f t="shared" si="1"/>
        <v>1418.51</v>
      </c>
      <c r="F30" s="50">
        <v>600.21</v>
      </c>
      <c r="G30" s="50">
        <f t="shared" si="2"/>
        <v>1552.93</v>
      </c>
      <c r="H30" s="51">
        <v>651.96</v>
      </c>
      <c r="I30" s="51">
        <f t="shared" si="3"/>
        <v>1686.81</v>
      </c>
      <c r="J30" s="50">
        <v>733.66</v>
      </c>
      <c r="K30" s="50">
        <f t="shared" si="4"/>
        <v>1898.1999999999998</v>
      </c>
      <c r="L30" s="51">
        <v>834.01</v>
      </c>
      <c r="M30" s="51">
        <f t="shared" si="5"/>
        <v>2157.84</v>
      </c>
      <c r="N30" s="50">
        <v>988.83</v>
      </c>
      <c r="O30" s="50">
        <f t="shared" si="6"/>
        <v>2558.4</v>
      </c>
      <c r="P30" s="51">
        <v>1186.3800000000001</v>
      </c>
      <c r="Q30" s="51">
        <f t="shared" si="7"/>
        <v>3069.53</v>
      </c>
      <c r="R30" s="50">
        <v>1455.8</v>
      </c>
      <c r="S30" s="50">
        <f t="shared" si="8"/>
        <v>3766.6000000000004</v>
      </c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15.75" customHeight="1" x14ac:dyDescent="0.2">
      <c r="A31" s="101" t="s">
        <v>78</v>
      </c>
      <c r="B31" s="50">
        <v>466.38</v>
      </c>
      <c r="C31" s="50">
        <f t="shared" si="0"/>
        <v>1173.02</v>
      </c>
      <c r="D31" s="51">
        <v>574.36</v>
      </c>
      <c r="E31" s="51">
        <f t="shared" si="1"/>
        <v>1444.6100000000001</v>
      </c>
      <c r="F31" s="50">
        <v>628.79999999999995</v>
      </c>
      <c r="G31" s="50">
        <f t="shared" si="2"/>
        <v>1581.52</v>
      </c>
      <c r="H31" s="51">
        <v>683</v>
      </c>
      <c r="I31" s="51">
        <f t="shared" si="3"/>
        <v>1717.85</v>
      </c>
      <c r="J31" s="50">
        <v>768.6</v>
      </c>
      <c r="K31" s="50">
        <f t="shared" si="4"/>
        <v>1933.1399999999999</v>
      </c>
      <c r="L31" s="51">
        <v>873.73</v>
      </c>
      <c r="M31" s="51">
        <f t="shared" si="5"/>
        <v>2197.56</v>
      </c>
      <c r="N31" s="50">
        <v>1035.92</v>
      </c>
      <c r="O31" s="50">
        <f t="shared" si="6"/>
        <v>2605.4899999999998</v>
      </c>
      <c r="P31" s="51">
        <v>1242.8800000000001</v>
      </c>
      <c r="Q31" s="51">
        <f t="shared" si="7"/>
        <v>3126.03</v>
      </c>
      <c r="R31" s="50">
        <v>1525.13</v>
      </c>
      <c r="S31" s="50">
        <f t="shared" si="8"/>
        <v>3835.9300000000003</v>
      </c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15.75" customHeight="1" x14ac:dyDescent="0.2">
      <c r="A32" s="101" t="s">
        <v>79</v>
      </c>
      <c r="B32" s="50">
        <v>487.58</v>
      </c>
      <c r="C32" s="50">
        <f t="shared" si="0"/>
        <v>1194.22</v>
      </c>
      <c r="D32" s="51">
        <v>600.47</v>
      </c>
      <c r="E32" s="51">
        <f t="shared" si="1"/>
        <v>1470.72</v>
      </c>
      <c r="F32" s="50">
        <v>657.38</v>
      </c>
      <c r="G32" s="50">
        <f t="shared" si="2"/>
        <v>1610.1</v>
      </c>
      <c r="H32" s="51">
        <v>714.05</v>
      </c>
      <c r="I32" s="51">
        <f t="shared" si="3"/>
        <v>1748.8999999999999</v>
      </c>
      <c r="J32" s="50">
        <v>803.53</v>
      </c>
      <c r="K32" s="50">
        <f t="shared" si="4"/>
        <v>1968.07</v>
      </c>
      <c r="L32" s="51">
        <v>913.44</v>
      </c>
      <c r="M32" s="51">
        <f t="shared" si="5"/>
        <v>2237.27</v>
      </c>
      <c r="N32" s="50">
        <v>1083</v>
      </c>
      <c r="O32" s="50">
        <f t="shared" si="6"/>
        <v>2652.5699999999997</v>
      </c>
      <c r="P32" s="51">
        <v>1299.3699999999999</v>
      </c>
      <c r="Q32" s="51">
        <f t="shared" si="7"/>
        <v>3182.52</v>
      </c>
      <c r="R32" s="50">
        <v>1594.45</v>
      </c>
      <c r="S32" s="50">
        <f t="shared" si="8"/>
        <v>3905.25</v>
      </c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ht="15.75" customHeight="1" x14ac:dyDescent="0.2">
      <c r="A33" s="101" t="s">
        <v>80</v>
      </c>
      <c r="B33" s="50">
        <v>508.78</v>
      </c>
      <c r="C33" s="50">
        <f t="shared" si="0"/>
        <v>1215.42</v>
      </c>
      <c r="D33" s="51">
        <v>626.58000000000004</v>
      </c>
      <c r="E33" s="51">
        <f t="shared" si="1"/>
        <v>1496.83</v>
      </c>
      <c r="F33" s="50">
        <v>685.96</v>
      </c>
      <c r="G33" s="50">
        <f t="shared" si="2"/>
        <v>1638.68</v>
      </c>
      <c r="H33" s="51">
        <v>745.09</v>
      </c>
      <c r="I33" s="51">
        <f t="shared" si="3"/>
        <v>1779.94</v>
      </c>
      <c r="J33" s="50">
        <v>838.47</v>
      </c>
      <c r="K33" s="50">
        <f t="shared" si="4"/>
        <v>2003.01</v>
      </c>
      <c r="L33" s="51">
        <v>953.16</v>
      </c>
      <c r="M33" s="51">
        <f t="shared" si="5"/>
        <v>2276.9899999999998</v>
      </c>
      <c r="N33" s="50">
        <v>1130.0899999999999</v>
      </c>
      <c r="O33" s="50">
        <f t="shared" si="6"/>
        <v>2699.66</v>
      </c>
      <c r="P33" s="51">
        <v>1355.87</v>
      </c>
      <c r="Q33" s="51">
        <f t="shared" si="7"/>
        <v>3239.02</v>
      </c>
      <c r="R33" s="50">
        <v>1663.78</v>
      </c>
      <c r="S33" s="50">
        <f t="shared" si="8"/>
        <v>3974.58</v>
      </c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ht="15.75" customHeight="1" x14ac:dyDescent="0.2">
      <c r="A34" s="101" t="s">
        <v>81</v>
      </c>
      <c r="B34" s="50">
        <v>529.98</v>
      </c>
      <c r="C34" s="50">
        <f t="shared" si="0"/>
        <v>1236.6199999999999</v>
      </c>
      <c r="D34" s="51">
        <v>652.69000000000005</v>
      </c>
      <c r="E34" s="51">
        <f t="shared" si="1"/>
        <v>1522.94</v>
      </c>
      <c r="F34" s="50">
        <v>714.54</v>
      </c>
      <c r="G34" s="50">
        <f t="shared" si="2"/>
        <v>1667.26</v>
      </c>
      <c r="H34" s="51">
        <v>776.14</v>
      </c>
      <c r="I34" s="51">
        <f t="shared" si="3"/>
        <v>1810.9899999999998</v>
      </c>
      <c r="J34" s="50">
        <v>873.41</v>
      </c>
      <c r="K34" s="50">
        <f t="shared" si="4"/>
        <v>2037.9499999999998</v>
      </c>
      <c r="L34" s="51">
        <v>992.87</v>
      </c>
      <c r="M34" s="51">
        <f t="shared" si="5"/>
        <v>2316.6999999999998</v>
      </c>
      <c r="N34" s="50">
        <v>1177.18</v>
      </c>
      <c r="O34" s="50">
        <f t="shared" si="6"/>
        <v>2746.75</v>
      </c>
      <c r="P34" s="51">
        <v>1412.36</v>
      </c>
      <c r="Q34" s="51">
        <f t="shared" si="7"/>
        <v>3295.51</v>
      </c>
      <c r="R34" s="50">
        <v>1733.1</v>
      </c>
      <c r="S34" s="50">
        <f t="shared" si="8"/>
        <v>4043.9</v>
      </c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</sheetData>
  <pageMargins left="0.196527777777778" right="0.196527777777778" top="0.78749999999999998" bottom="0.196527777777778" header="0.39374999999999999" footer="0.51180555555555496"/>
  <pageSetup paperSize="0" scale="0" firstPageNumber="0" orientation="portrait" usePrinterDefaults="0" horizontalDpi="0" verticalDpi="0" copies="0"/>
  <headerFooter>
    <oddHeader>&amp;C&amp;"Comic Sans MS,Fett"&amp;12Gehaltstabellen ab  01.07.2006 / Tabelle stipendiali dal 01.07.2006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zoomScaleNormal="100" workbookViewId="0">
      <selection activeCell="I17" sqref="I17"/>
    </sheetView>
  </sheetViews>
  <sheetFormatPr baseColWidth="10" defaultColWidth="9.140625" defaultRowHeight="12.75" x14ac:dyDescent="0.2"/>
  <cols>
    <col min="1" max="1" width="22.140625"/>
    <col min="2" max="2" width="0" hidden="1"/>
    <col min="4" max="4" width="0.28515625"/>
    <col min="6" max="6" width="0" hidden="1"/>
    <col min="8" max="8" width="0" hidden="1"/>
    <col min="10" max="10" width="0" hidden="1"/>
    <col min="12" max="12" width="0" hidden="1"/>
    <col min="14" max="14" width="0" hidden="1"/>
    <col min="16" max="16" width="0" hidden="1"/>
    <col min="18" max="18" width="0" hidden="1"/>
    <col min="20" max="20" width="0" hidden="1"/>
    <col min="22" max="22" width="0" hidden="1"/>
    <col min="24" max="256" width="11.28515625"/>
    <col min="257" max="1025" width="11.5703125"/>
  </cols>
  <sheetData>
    <row r="1" spans="1:256" ht="15.75" customHeight="1" x14ac:dyDescent="0.2">
      <c r="A1" s="111"/>
      <c r="B1" s="112" t="s">
        <v>44</v>
      </c>
      <c r="C1" s="112" t="s">
        <v>44</v>
      </c>
      <c r="D1" s="113" t="s">
        <v>45</v>
      </c>
      <c r="E1" s="113" t="s">
        <v>45</v>
      </c>
      <c r="F1" s="112" t="s">
        <v>46</v>
      </c>
      <c r="G1" s="112" t="s">
        <v>46</v>
      </c>
      <c r="H1" s="113" t="s">
        <v>47</v>
      </c>
      <c r="I1" s="113" t="s">
        <v>47</v>
      </c>
      <c r="J1" s="112" t="s">
        <v>48</v>
      </c>
      <c r="K1" s="112" t="s">
        <v>48</v>
      </c>
      <c r="L1" s="113" t="s">
        <v>49</v>
      </c>
      <c r="M1" s="113" t="s">
        <v>49</v>
      </c>
      <c r="N1" s="112" t="s">
        <v>50</v>
      </c>
      <c r="O1" s="112" t="s">
        <v>50</v>
      </c>
      <c r="P1" s="114" t="s">
        <v>87</v>
      </c>
      <c r="Q1" s="113" t="s">
        <v>87</v>
      </c>
      <c r="R1" s="112" t="s">
        <v>88</v>
      </c>
      <c r="S1" s="112" t="s">
        <v>88</v>
      </c>
      <c r="T1" s="113" t="s">
        <v>51</v>
      </c>
      <c r="U1" s="113" t="s">
        <v>51</v>
      </c>
      <c r="V1" s="112" t="s">
        <v>52</v>
      </c>
      <c r="W1" s="112" t="s">
        <v>52</v>
      </c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  <c r="IU1" s="115"/>
      <c r="IV1" s="115"/>
    </row>
    <row r="2" spans="1:256" ht="15.75" customHeight="1" x14ac:dyDescent="0.25">
      <c r="A2" s="116" t="s">
        <v>10</v>
      </c>
      <c r="B2" s="117"/>
      <c r="C2" s="118"/>
      <c r="D2" s="119"/>
      <c r="E2" s="120"/>
      <c r="F2" s="117"/>
      <c r="G2" s="118"/>
      <c r="H2" s="119"/>
      <c r="I2" s="120"/>
      <c r="J2" s="117"/>
      <c r="K2" s="118"/>
      <c r="L2" s="119"/>
      <c r="M2" s="120"/>
      <c r="N2" s="117"/>
      <c r="O2" s="118"/>
      <c r="P2" s="118"/>
      <c r="Q2" s="120"/>
      <c r="R2" s="118"/>
      <c r="S2" s="118"/>
      <c r="T2" s="119"/>
      <c r="U2" s="119"/>
      <c r="V2" s="117"/>
      <c r="W2" s="117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  <c r="IT2" s="121"/>
      <c r="IU2" s="121"/>
      <c r="IV2" s="121"/>
    </row>
    <row r="3" spans="1:256" ht="15.75" customHeight="1" x14ac:dyDescent="0.25">
      <c r="A3" s="122" t="s">
        <v>11</v>
      </c>
      <c r="B3" s="123">
        <v>576.66999999999996</v>
      </c>
      <c r="C3" s="123">
        <f>B3</f>
        <v>576.66999999999996</v>
      </c>
      <c r="D3" s="124">
        <v>695.33</v>
      </c>
      <c r="E3" s="124">
        <f>D3</f>
        <v>695.33</v>
      </c>
      <c r="F3" s="123">
        <v>755.58</v>
      </c>
      <c r="G3" s="123">
        <f>F3</f>
        <v>755.58</v>
      </c>
      <c r="H3" s="124">
        <v>815.83</v>
      </c>
      <c r="I3" s="124">
        <f>H3</f>
        <v>815.83</v>
      </c>
      <c r="J3" s="123">
        <v>918.17</v>
      </c>
      <c r="K3" s="123">
        <f>J3</f>
        <v>918.17</v>
      </c>
      <c r="L3" s="124">
        <v>1024.67</v>
      </c>
      <c r="M3" s="124">
        <f>L3</f>
        <v>1024.67</v>
      </c>
      <c r="N3" s="123">
        <v>1215.17</v>
      </c>
      <c r="O3" s="123">
        <f>N3</f>
        <v>1215.17</v>
      </c>
      <c r="P3" s="125">
        <v>1275.92</v>
      </c>
      <c r="Q3" s="124">
        <f>P3</f>
        <v>1275.92</v>
      </c>
      <c r="R3" s="123">
        <v>1349.83</v>
      </c>
      <c r="S3" s="123">
        <f>R3</f>
        <v>1349.83</v>
      </c>
      <c r="T3" s="124">
        <v>1484.25</v>
      </c>
      <c r="U3" s="124">
        <f>T3</f>
        <v>1484.25</v>
      </c>
      <c r="V3" s="123">
        <v>1773.42</v>
      </c>
      <c r="W3" s="123">
        <f>V3</f>
        <v>1773.42</v>
      </c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  <c r="IR3" s="126"/>
      <c r="IS3" s="126"/>
      <c r="IT3" s="126"/>
      <c r="IU3" s="126"/>
      <c r="IV3" s="126"/>
    </row>
    <row r="4" spans="1:256" ht="15.75" customHeight="1" x14ac:dyDescent="0.2">
      <c r="A4" s="127" t="s">
        <v>53</v>
      </c>
      <c r="B4" s="128">
        <f>34.6</f>
        <v>34.6</v>
      </c>
      <c r="C4" s="128">
        <f>$C$3+B4</f>
        <v>611.27</v>
      </c>
      <c r="D4" s="129">
        <v>41.72</v>
      </c>
      <c r="E4" s="129">
        <f>$E$3+D4</f>
        <v>737.05000000000007</v>
      </c>
      <c r="F4" s="128">
        <v>45.34</v>
      </c>
      <c r="G4" s="128">
        <f>$G$3+F4</f>
        <v>800.92000000000007</v>
      </c>
      <c r="H4" s="129">
        <v>48.95</v>
      </c>
      <c r="I4" s="129">
        <f>$I$3+H4</f>
        <v>864.78000000000009</v>
      </c>
      <c r="J4" s="128">
        <v>55.09</v>
      </c>
      <c r="K4" s="128">
        <f>$K$3+J4</f>
        <v>973.26</v>
      </c>
      <c r="L4" s="129">
        <v>61.48</v>
      </c>
      <c r="M4" s="129">
        <f>$M$3+L4</f>
        <v>1086.1500000000001</v>
      </c>
      <c r="N4" s="128">
        <v>72.91</v>
      </c>
      <c r="O4" s="128">
        <f>$O$3+N4</f>
        <v>1288.0800000000002</v>
      </c>
      <c r="P4" s="130">
        <v>76.55</v>
      </c>
      <c r="Q4" s="129">
        <f>$Q$3+P4</f>
        <v>1352.47</v>
      </c>
      <c r="R4" s="128">
        <v>80.989999999999995</v>
      </c>
      <c r="S4" s="128">
        <f>$S$3+R4</f>
        <v>1430.82</v>
      </c>
      <c r="T4" s="129">
        <v>89.06</v>
      </c>
      <c r="U4" s="129">
        <f>$U$3+T4</f>
        <v>1573.31</v>
      </c>
      <c r="V4" s="128">
        <v>106.4</v>
      </c>
      <c r="W4" s="128">
        <f>$W$3+V4</f>
        <v>1879.8200000000002</v>
      </c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</row>
    <row r="5" spans="1:256" ht="15.75" customHeight="1" x14ac:dyDescent="0.2">
      <c r="A5" s="127" t="s">
        <v>54</v>
      </c>
      <c r="B5" s="128">
        <f>34.6+34.6</f>
        <v>69.2</v>
      </c>
      <c r="C5" s="128">
        <f>$C$3+B5</f>
        <v>645.87</v>
      </c>
      <c r="D5" s="129">
        <f>D4+41.72</f>
        <v>83.44</v>
      </c>
      <c r="E5" s="129">
        <f>$E$3+D5</f>
        <v>778.77</v>
      </c>
      <c r="F5" s="128">
        <f>F4+45.33</f>
        <v>90.67</v>
      </c>
      <c r="G5" s="128">
        <f>$G$3+F5</f>
        <v>846.25</v>
      </c>
      <c r="H5" s="129">
        <f>H4+48.95</f>
        <v>97.9</v>
      </c>
      <c r="I5" s="129">
        <f>$I$3+H5</f>
        <v>913.73</v>
      </c>
      <c r="J5" s="128">
        <f>J4+55.09</f>
        <v>110.18</v>
      </c>
      <c r="K5" s="128">
        <f>$K$3+J5</f>
        <v>1028.3499999999999</v>
      </c>
      <c r="L5" s="129">
        <f>L4+61.48</f>
        <v>122.96</v>
      </c>
      <c r="M5" s="129">
        <f>$M$3+L5</f>
        <v>1147.6300000000001</v>
      </c>
      <c r="N5" s="128">
        <f>N4+72.91</f>
        <v>145.82</v>
      </c>
      <c r="O5" s="128">
        <f>$O$3+N5</f>
        <v>1360.99</v>
      </c>
      <c r="P5" s="130">
        <f>P4+76.56</f>
        <v>153.11000000000001</v>
      </c>
      <c r="Q5" s="129">
        <f>$Q$3+P5</f>
        <v>1429.0300000000002</v>
      </c>
      <c r="R5" s="128">
        <f>R4+80.99</f>
        <v>161.97999999999999</v>
      </c>
      <c r="S5" s="128">
        <f>$S$3+R5</f>
        <v>1511.81</v>
      </c>
      <c r="T5" s="129">
        <f>T4+89.05</f>
        <v>178.11</v>
      </c>
      <c r="U5" s="129">
        <f>$U$3+T5</f>
        <v>1662.3600000000001</v>
      </c>
      <c r="V5" s="128">
        <f>V4+106.41</f>
        <v>212.81</v>
      </c>
      <c r="W5" s="128">
        <f>$W$3+V5</f>
        <v>1986.23</v>
      </c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  <c r="IO5" s="131"/>
      <c r="IP5" s="131"/>
      <c r="IQ5" s="131"/>
      <c r="IR5" s="131"/>
      <c r="IS5" s="131"/>
      <c r="IT5" s="131"/>
      <c r="IU5" s="131"/>
      <c r="IV5" s="131"/>
    </row>
    <row r="6" spans="1:256" ht="15.75" customHeight="1" x14ac:dyDescent="0.2">
      <c r="A6" s="127" t="s">
        <v>55</v>
      </c>
      <c r="B6" s="128">
        <f>34.6+34.6+34.6</f>
        <v>103.80000000000001</v>
      </c>
      <c r="C6" s="128">
        <f>$C$3+B6</f>
        <v>680.47</v>
      </c>
      <c r="D6" s="129">
        <f>D5+41.72</f>
        <v>125.16</v>
      </c>
      <c r="E6" s="129">
        <f>$E$3+D6</f>
        <v>820.49</v>
      </c>
      <c r="F6" s="128">
        <f>F5+45.34</f>
        <v>136.01</v>
      </c>
      <c r="G6" s="128">
        <f>$G$3+F6</f>
        <v>891.59</v>
      </c>
      <c r="H6" s="129">
        <f>H5+48.95</f>
        <v>146.85000000000002</v>
      </c>
      <c r="I6" s="129">
        <f>$I$3+H6</f>
        <v>962.68000000000006</v>
      </c>
      <c r="J6" s="128">
        <f>J5+55.09</f>
        <v>165.27</v>
      </c>
      <c r="K6" s="128">
        <f>$K$3+J6</f>
        <v>1083.44</v>
      </c>
      <c r="L6" s="129">
        <f>L5+61.48</f>
        <v>184.44</v>
      </c>
      <c r="M6" s="129">
        <f>$M$3+L6</f>
        <v>1209.1100000000001</v>
      </c>
      <c r="N6" s="128">
        <f>N5+72.91</f>
        <v>218.73</v>
      </c>
      <c r="O6" s="128">
        <f>$O$3+N6</f>
        <v>1433.9</v>
      </c>
      <c r="P6" s="130">
        <f>P5+76.55</f>
        <v>229.66000000000003</v>
      </c>
      <c r="Q6" s="129">
        <f>$Q$3+P6</f>
        <v>1505.5800000000002</v>
      </c>
      <c r="R6" s="128">
        <f>R5+80.99</f>
        <v>242.96999999999997</v>
      </c>
      <c r="S6" s="128">
        <f>$S$3+R6</f>
        <v>1592.8</v>
      </c>
      <c r="T6" s="129">
        <f>T5+89.06</f>
        <v>267.17</v>
      </c>
      <c r="U6" s="129">
        <f>$U$3+T6</f>
        <v>1751.42</v>
      </c>
      <c r="V6" s="128">
        <f>V5+106.4</f>
        <v>319.21000000000004</v>
      </c>
      <c r="W6" s="128">
        <f>$W$3+V6</f>
        <v>2092.63</v>
      </c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  <c r="IK6" s="131"/>
      <c r="IL6" s="131"/>
      <c r="IM6" s="131"/>
      <c r="IN6" s="131"/>
      <c r="IO6" s="131"/>
      <c r="IP6" s="131"/>
      <c r="IQ6" s="131"/>
      <c r="IR6" s="131"/>
      <c r="IS6" s="131"/>
      <c r="IT6" s="131"/>
      <c r="IU6" s="131"/>
      <c r="IV6" s="131"/>
    </row>
    <row r="7" spans="1:256" ht="15.75" customHeight="1" x14ac:dyDescent="0.2">
      <c r="A7" s="132"/>
      <c r="B7" s="133"/>
      <c r="C7" s="133"/>
      <c r="D7" s="134"/>
      <c r="E7" s="134"/>
      <c r="F7" s="133"/>
      <c r="G7" s="133"/>
      <c r="H7" s="134"/>
      <c r="I7" s="134"/>
      <c r="J7" s="133"/>
      <c r="K7" s="133"/>
      <c r="L7" s="134"/>
      <c r="M7" s="134"/>
      <c r="N7" s="133"/>
      <c r="O7" s="133"/>
      <c r="P7" s="135"/>
      <c r="Q7" s="134"/>
      <c r="R7" s="133"/>
      <c r="S7" s="133"/>
      <c r="T7" s="134"/>
      <c r="U7" s="134"/>
      <c r="V7" s="133"/>
      <c r="W7" s="133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1"/>
    </row>
    <row r="8" spans="1:256" ht="15.75" customHeight="1" x14ac:dyDescent="0.2">
      <c r="A8" s="136" t="s">
        <v>56</v>
      </c>
      <c r="B8" s="137"/>
      <c r="C8" s="137"/>
      <c r="D8" s="138"/>
      <c r="E8" s="138"/>
      <c r="F8" s="137"/>
      <c r="G8" s="137"/>
      <c r="H8" s="138"/>
      <c r="I8" s="138"/>
      <c r="J8" s="137"/>
      <c r="K8" s="137"/>
      <c r="L8" s="138"/>
      <c r="M8" s="138"/>
      <c r="N8" s="137"/>
      <c r="O8" s="137"/>
      <c r="P8" s="139"/>
      <c r="Q8" s="138"/>
      <c r="R8" s="137"/>
      <c r="S8" s="137"/>
      <c r="T8" s="138"/>
      <c r="U8" s="138"/>
      <c r="V8" s="137"/>
      <c r="W8" s="137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  <c r="IV8" s="121"/>
    </row>
    <row r="9" spans="1:256" ht="15.75" customHeight="1" x14ac:dyDescent="0.25">
      <c r="A9" s="122" t="s">
        <v>11</v>
      </c>
      <c r="B9" s="123">
        <v>722.92</v>
      </c>
      <c r="C9" s="123">
        <f>B9</f>
        <v>722.92</v>
      </c>
      <c r="D9" s="124">
        <v>890.33</v>
      </c>
      <c r="E9" s="124">
        <f>D9</f>
        <v>890.33</v>
      </c>
      <c r="F9" s="123">
        <v>973.67</v>
      </c>
      <c r="G9" s="123">
        <f>F9</f>
        <v>973.67</v>
      </c>
      <c r="H9" s="124">
        <v>1058.67</v>
      </c>
      <c r="I9" s="124">
        <f>H9</f>
        <v>1058.67</v>
      </c>
      <c r="J9" s="123">
        <v>1191.33</v>
      </c>
      <c r="K9" s="123">
        <f>J9</f>
        <v>1191.33</v>
      </c>
      <c r="L9" s="124">
        <v>1354.25</v>
      </c>
      <c r="M9" s="124">
        <f>L9</f>
        <v>1354.25</v>
      </c>
      <c r="N9" s="123">
        <v>1605.67</v>
      </c>
      <c r="O9" s="123">
        <f>N9</f>
        <v>1605.67</v>
      </c>
      <c r="P9" s="125">
        <v>1669.92</v>
      </c>
      <c r="Q9" s="124">
        <f>P9</f>
        <v>1669.92</v>
      </c>
      <c r="R9" s="123">
        <v>1765.92</v>
      </c>
      <c r="S9" s="123">
        <f>R9</f>
        <v>1765.92</v>
      </c>
      <c r="T9" s="124">
        <v>1926.5</v>
      </c>
      <c r="U9" s="124">
        <f>T9</f>
        <v>1926.5</v>
      </c>
      <c r="V9" s="123">
        <v>2363.92</v>
      </c>
      <c r="W9" s="123">
        <f>V9</f>
        <v>2363.92</v>
      </c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</row>
    <row r="10" spans="1:256" ht="15.75" customHeight="1" x14ac:dyDescent="0.2">
      <c r="A10" s="127" t="s">
        <v>57</v>
      </c>
      <c r="B10" s="128">
        <v>21.68</v>
      </c>
      <c r="C10" s="128">
        <f>$C$9+B10</f>
        <v>744.59999999999991</v>
      </c>
      <c r="D10" s="129">
        <v>26.71</v>
      </c>
      <c r="E10" s="129">
        <f t="shared" ref="E10:E34" si="0">$E$9+D10</f>
        <v>917.04000000000008</v>
      </c>
      <c r="F10" s="128">
        <v>29.21</v>
      </c>
      <c r="G10" s="128">
        <f t="shared" ref="G10:G34" si="1">$G$9+F10</f>
        <v>1002.88</v>
      </c>
      <c r="H10" s="129">
        <v>31.76</v>
      </c>
      <c r="I10" s="129">
        <f t="shared" ref="I10:I34" si="2">$I$9+H10</f>
        <v>1090.43</v>
      </c>
      <c r="J10" s="128">
        <f>35.74</f>
        <v>35.74</v>
      </c>
      <c r="K10" s="128">
        <f t="shared" ref="K10:K34" si="3">$K$9+J10</f>
        <v>1227.07</v>
      </c>
      <c r="L10" s="129">
        <v>40.630000000000003</v>
      </c>
      <c r="M10" s="129">
        <f t="shared" ref="M10:M34" si="4">$M$9+L10</f>
        <v>1394.88</v>
      </c>
      <c r="N10" s="128">
        <v>48.17</v>
      </c>
      <c r="O10" s="128">
        <f t="shared" ref="O10:O34" si="5">$O$9+N10</f>
        <v>1653.8400000000001</v>
      </c>
      <c r="P10" s="130">
        <v>50.09</v>
      </c>
      <c r="Q10" s="129">
        <f t="shared" ref="Q10:Q34" si="6">$Q$9+P10</f>
        <v>1720.01</v>
      </c>
      <c r="R10" s="128">
        <v>52.97</v>
      </c>
      <c r="S10" s="128">
        <f t="shared" ref="S10:S34" si="7">$S$9+R10</f>
        <v>1818.89</v>
      </c>
      <c r="T10" s="129">
        <v>57.8</v>
      </c>
      <c r="U10" s="129">
        <f t="shared" ref="U10:U34" si="8">$U$9+T10</f>
        <v>1984.3</v>
      </c>
      <c r="V10" s="128">
        <v>70.91</v>
      </c>
      <c r="W10" s="128">
        <f t="shared" ref="W10:W34" si="9">$W$9+V10</f>
        <v>2434.83</v>
      </c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</row>
    <row r="11" spans="1:256" ht="15.75" customHeight="1" x14ac:dyDescent="0.2">
      <c r="A11" s="127" t="s">
        <v>58</v>
      </c>
      <c r="B11" s="128">
        <f>B10+21.69</f>
        <v>43.370000000000005</v>
      </c>
      <c r="C11" s="128">
        <f>$C$9+B11</f>
        <v>766.29</v>
      </c>
      <c r="D11" s="129">
        <f t="shared" ref="D11:D34" si="10">D10+26.71</f>
        <v>53.42</v>
      </c>
      <c r="E11" s="129">
        <f t="shared" si="0"/>
        <v>943.75</v>
      </c>
      <c r="F11" s="128">
        <f t="shared" ref="F11:F34" si="11">F10+29.21</f>
        <v>58.42</v>
      </c>
      <c r="G11" s="128">
        <f t="shared" si="1"/>
        <v>1032.0899999999999</v>
      </c>
      <c r="H11" s="129">
        <f t="shared" ref="H11:H34" si="12">H10+31.76</f>
        <v>63.52</v>
      </c>
      <c r="I11" s="129">
        <f t="shared" si="2"/>
        <v>1122.19</v>
      </c>
      <c r="J11" s="128">
        <f t="shared" ref="J11:J34" si="13">J10+35.74</f>
        <v>71.48</v>
      </c>
      <c r="K11" s="128">
        <f t="shared" si="3"/>
        <v>1262.81</v>
      </c>
      <c r="L11" s="129">
        <f>L10+40.63</f>
        <v>81.260000000000005</v>
      </c>
      <c r="M11" s="129">
        <f t="shared" si="4"/>
        <v>1435.51</v>
      </c>
      <c r="N11" s="128">
        <f t="shared" ref="N11:N34" si="14">N10+48.17</f>
        <v>96.34</v>
      </c>
      <c r="O11" s="128">
        <f t="shared" si="5"/>
        <v>1702.01</v>
      </c>
      <c r="P11" s="130">
        <f>P10+50.1</f>
        <v>100.19</v>
      </c>
      <c r="Q11" s="129">
        <f t="shared" si="6"/>
        <v>1770.1100000000001</v>
      </c>
      <c r="R11" s="128">
        <f>R10+52.98</f>
        <v>105.94999999999999</v>
      </c>
      <c r="S11" s="128">
        <f t="shared" si="7"/>
        <v>1871.8700000000001</v>
      </c>
      <c r="T11" s="129">
        <f>T10+57.79</f>
        <v>115.59</v>
      </c>
      <c r="U11" s="129">
        <f t="shared" si="8"/>
        <v>2042.09</v>
      </c>
      <c r="V11" s="128">
        <f>V10+70.92</f>
        <v>141.82999999999998</v>
      </c>
      <c r="W11" s="128">
        <f t="shared" si="9"/>
        <v>2505.75</v>
      </c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  <c r="IT11" s="131"/>
      <c r="IU11" s="131"/>
      <c r="IV11" s="131"/>
    </row>
    <row r="12" spans="1:256" ht="15.75" customHeight="1" x14ac:dyDescent="0.2">
      <c r="A12" s="127" t="s">
        <v>59</v>
      </c>
      <c r="B12" s="128">
        <f>B11+21.69</f>
        <v>65.06</v>
      </c>
      <c r="C12" s="128">
        <f>$C$9+B12</f>
        <v>787.98</v>
      </c>
      <c r="D12" s="129">
        <f t="shared" si="10"/>
        <v>80.13</v>
      </c>
      <c r="E12" s="129">
        <f t="shared" si="0"/>
        <v>970.46</v>
      </c>
      <c r="F12" s="128">
        <f t="shared" si="11"/>
        <v>87.63</v>
      </c>
      <c r="G12" s="128">
        <f t="shared" si="1"/>
        <v>1061.3</v>
      </c>
      <c r="H12" s="129">
        <f t="shared" si="12"/>
        <v>95.28</v>
      </c>
      <c r="I12" s="129">
        <f t="shared" si="2"/>
        <v>1153.95</v>
      </c>
      <c r="J12" s="128">
        <f t="shared" si="13"/>
        <v>107.22</v>
      </c>
      <c r="K12" s="128">
        <f t="shared" si="3"/>
        <v>1298.55</v>
      </c>
      <c r="L12" s="129">
        <f>L11+40.62</f>
        <v>121.88</v>
      </c>
      <c r="M12" s="129">
        <f t="shared" si="4"/>
        <v>1476.13</v>
      </c>
      <c r="N12" s="128">
        <f t="shared" si="14"/>
        <v>144.51</v>
      </c>
      <c r="O12" s="128">
        <f t="shared" si="5"/>
        <v>1750.18</v>
      </c>
      <c r="P12" s="130">
        <f>P11+50.1</f>
        <v>150.29</v>
      </c>
      <c r="Q12" s="129">
        <f t="shared" si="6"/>
        <v>1820.21</v>
      </c>
      <c r="R12" s="128">
        <f>R11+52.98</f>
        <v>158.92999999999998</v>
      </c>
      <c r="S12" s="128">
        <f t="shared" si="7"/>
        <v>1924.8500000000001</v>
      </c>
      <c r="T12" s="129">
        <f>T11+57.8</f>
        <v>173.39</v>
      </c>
      <c r="U12" s="129">
        <f t="shared" si="8"/>
        <v>2099.89</v>
      </c>
      <c r="V12" s="128">
        <f>V11+70.92</f>
        <v>212.75</v>
      </c>
      <c r="W12" s="128">
        <f t="shared" si="9"/>
        <v>2576.67</v>
      </c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</row>
    <row r="13" spans="1:256" ht="15.75" customHeight="1" x14ac:dyDescent="0.2">
      <c r="A13" s="127" t="s">
        <v>60</v>
      </c>
      <c r="B13" s="128">
        <f>B12+21.69</f>
        <v>86.75</v>
      </c>
      <c r="C13" s="128">
        <f>$C$9+B13</f>
        <v>809.67</v>
      </c>
      <c r="D13" s="129">
        <f t="shared" si="10"/>
        <v>106.84</v>
      </c>
      <c r="E13" s="129">
        <f t="shared" si="0"/>
        <v>997.17000000000007</v>
      </c>
      <c r="F13" s="128">
        <f t="shared" si="11"/>
        <v>116.84</v>
      </c>
      <c r="G13" s="128">
        <f t="shared" si="1"/>
        <v>1090.51</v>
      </c>
      <c r="H13" s="129">
        <f t="shared" si="12"/>
        <v>127.04</v>
      </c>
      <c r="I13" s="129">
        <f t="shared" si="2"/>
        <v>1185.71</v>
      </c>
      <c r="J13" s="128">
        <f t="shared" si="13"/>
        <v>142.96</v>
      </c>
      <c r="K13" s="128">
        <f t="shared" si="3"/>
        <v>1334.29</v>
      </c>
      <c r="L13" s="129">
        <f>L12+40.63</f>
        <v>162.51</v>
      </c>
      <c r="M13" s="129">
        <f t="shared" si="4"/>
        <v>1516.76</v>
      </c>
      <c r="N13" s="128">
        <f t="shared" si="14"/>
        <v>192.68</v>
      </c>
      <c r="O13" s="128">
        <f t="shared" si="5"/>
        <v>1798.3500000000001</v>
      </c>
      <c r="P13" s="130">
        <f>P12+50.1</f>
        <v>200.39</v>
      </c>
      <c r="Q13" s="129">
        <f t="shared" si="6"/>
        <v>1870.31</v>
      </c>
      <c r="R13" s="128">
        <f>R12+52.98</f>
        <v>211.90999999999997</v>
      </c>
      <c r="S13" s="128">
        <f t="shared" si="7"/>
        <v>1977.83</v>
      </c>
      <c r="T13" s="129">
        <f>T12+57.79</f>
        <v>231.17999999999998</v>
      </c>
      <c r="U13" s="129">
        <f t="shared" si="8"/>
        <v>2157.6799999999998</v>
      </c>
      <c r="V13" s="128">
        <f>V12+70.92</f>
        <v>283.67</v>
      </c>
      <c r="W13" s="128">
        <f t="shared" si="9"/>
        <v>2647.59</v>
      </c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</row>
    <row r="14" spans="1:256" ht="15.75" customHeight="1" x14ac:dyDescent="0.2">
      <c r="A14" s="127" t="s">
        <v>61</v>
      </c>
      <c r="B14" s="128">
        <f>B13+21.68</f>
        <v>108.43</v>
      </c>
      <c r="C14" s="128">
        <f>$C$9+B14</f>
        <v>831.34999999999991</v>
      </c>
      <c r="D14" s="129">
        <f t="shared" si="10"/>
        <v>133.55000000000001</v>
      </c>
      <c r="E14" s="129">
        <f t="shared" si="0"/>
        <v>1023.8800000000001</v>
      </c>
      <c r="F14" s="128">
        <f t="shared" si="11"/>
        <v>146.05000000000001</v>
      </c>
      <c r="G14" s="128">
        <f t="shared" si="1"/>
        <v>1119.72</v>
      </c>
      <c r="H14" s="129">
        <f t="shared" si="12"/>
        <v>158.80000000000001</v>
      </c>
      <c r="I14" s="129">
        <f t="shared" si="2"/>
        <v>1217.47</v>
      </c>
      <c r="J14" s="128">
        <f t="shared" si="13"/>
        <v>178.70000000000002</v>
      </c>
      <c r="K14" s="128">
        <f t="shared" si="3"/>
        <v>1370.03</v>
      </c>
      <c r="L14" s="129">
        <f>L13+40.63</f>
        <v>203.14</v>
      </c>
      <c r="M14" s="129">
        <f t="shared" si="4"/>
        <v>1557.3899999999999</v>
      </c>
      <c r="N14" s="128">
        <f t="shared" si="14"/>
        <v>240.85000000000002</v>
      </c>
      <c r="O14" s="128">
        <f t="shared" si="5"/>
        <v>1846.52</v>
      </c>
      <c r="P14" s="130">
        <f>P13+50.09</f>
        <v>250.48</v>
      </c>
      <c r="Q14" s="129">
        <f t="shared" si="6"/>
        <v>1920.4</v>
      </c>
      <c r="R14" s="128">
        <f>R13+52.97</f>
        <v>264.88</v>
      </c>
      <c r="S14" s="128">
        <f t="shared" si="7"/>
        <v>2030.8000000000002</v>
      </c>
      <c r="T14" s="129">
        <f>T13+57.8</f>
        <v>288.97999999999996</v>
      </c>
      <c r="U14" s="129">
        <f t="shared" si="8"/>
        <v>2215.48</v>
      </c>
      <c r="V14" s="128">
        <f>V13+70.91</f>
        <v>354.58000000000004</v>
      </c>
      <c r="W14" s="128">
        <f t="shared" si="9"/>
        <v>2718.5</v>
      </c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</row>
    <row r="15" spans="1:256" ht="15.75" customHeight="1" x14ac:dyDescent="0.2">
      <c r="A15" s="127" t="s">
        <v>62</v>
      </c>
      <c r="B15" s="128">
        <f>B14+21.69</f>
        <v>130.12</v>
      </c>
      <c r="C15" s="128">
        <f>$C$9+B15+0.001</f>
        <v>853.04099999999994</v>
      </c>
      <c r="D15" s="129">
        <f t="shared" si="10"/>
        <v>160.26000000000002</v>
      </c>
      <c r="E15" s="129">
        <f t="shared" si="0"/>
        <v>1050.5900000000001</v>
      </c>
      <c r="F15" s="128">
        <f t="shared" si="11"/>
        <v>175.26000000000002</v>
      </c>
      <c r="G15" s="128">
        <f t="shared" si="1"/>
        <v>1148.93</v>
      </c>
      <c r="H15" s="129">
        <f t="shared" si="12"/>
        <v>190.56</v>
      </c>
      <c r="I15" s="129">
        <f t="shared" si="2"/>
        <v>1249.23</v>
      </c>
      <c r="J15" s="128">
        <f t="shared" si="13"/>
        <v>214.44000000000003</v>
      </c>
      <c r="K15" s="128">
        <f t="shared" si="3"/>
        <v>1405.77</v>
      </c>
      <c r="L15" s="129">
        <f>L14+40.63</f>
        <v>243.76999999999998</v>
      </c>
      <c r="M15" s="129">
        <f t="shared" si="4"/>
        <v>1598.02</v>
      </c>
      <c r="N15" s="128">
        <f t="shared" si="14"/>
        <v>289.02000000000004</v>
      </c>
      <c r="O15" s="128">
        <f t="shared" si="5"/>
        <v>1894.69</v>
      </c>
      <c r="P15" s="130">
        <f>P14+50.1</f>
        <v>300.58</v>
      </c>
      <c r="Q15" s="129">
        <f t="shared" si="6"/>
        <v>1970.5</v>
      </c>
      <c r="R15" s="128">
        <f>R14+52.98</f>
        <v>317.86</v>
      </c>
      <c r="S15" s="128">
        <f t="shared" si="7"/>
        <v>2083.7800000000002</v>
      </c>
      <c r="T15" s="129">
        <f>T14+57.79</f>
        <v>346.77</v>
      </c>
      <c r="U15" s="129">
        <f t="shared" si="8"/>
        <v>2273.27</v>
      </c>
      <c r="V15" s="128">
        <f>V14+70.92</f>
        <v>425.50000000000006</v>
      </c>
      <c r="W15" s="128">
        <f t="shared" si="9"/>
        <v>2789.42</v>
      </c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</row>
    <row r="16" spans="1:256" ht="15.75" customHeight="1" x14ac:dyDescent="0.2">
      <c r="A16" s="127" t="s">
        <v>63</v>
      </c>
      <c r="B16" s="128">
        <f>B15+21.69</f>
        <v>151.81</v>
      </c>
      <c r="C16" s="128">
        <f t="shared" ref="C16:C34" si="15">$C$9+B16</f>
        <v>874.73</v>
      </c>
      <c r="D16" s="129">
        <f t="shared" si="10"/>
        <v>186.97000000000003</v>
      </c>
      <c r="E16" s="129">
        <f t="shared" si="0"/>
        <v>1077.3000000000002</v>
      </c>
      <c r="F16" s="128">
        <f t="shared" si="11"/>
        <v>204.47000000000003</v>
      </c>
      <c r="G16" s="128">
        <f t="shared" si="1"/>
        <v>1178.1399999999999</v>
      </c>
      <c r="H16" s="129">
        <f t="shared" si="12"/>
        <v>222.32</v>
      </c>
      <c r="I16" s="129">
        <f t="shared" si="2"/>
        <v>1280.99</v>
      </c>
      <c r="J16" s="128">
        <f t="shared" si="13"/>
        <v>250.18000000000004</v>
      </c>
      <c r="K16" s="128">
        <f t="shared" si="3"/>
        <v>1441.51</v>
      </c>
      <c r="L16" s="129">
        <f>L15+40.62</f>
        <v>284.39</v>
      </c>
      <c r="M16" s="129">
        <f t="shared" si="4"/>
        <v>1638.6399999999999</v>
      </c>
      <c r="N16" s="128">
        <f t="shared" si="14"/>
        <v>337.19000000000005</v>
      </c>
      <c r="O16" s="128">
        <f t="shared" si="5"/>
        <v>1942.8600000000001</v>
      </c>
      <c r="P16" s="130">
        <f>P15+50.1</f>
        <v>350.68</v>
      </c>
      <c r="Q16" s="129">
        <f t="shared" si="6"/>
        <v>2020.6000000000001</v>
      </c>
      <c r="R16" s="128">
        <f>R15+52.98</f>
        <v>370.84000000000003</v>
      </c>
      <c r="S16" s="128">
        <f t="shared" si="7"/>
        <v>2136.7600000000002</v>
      </c>
      <c r="T16" s="129">
        <f>T15+57.8</f>
        <v>404.57</v>
      </c>
      <c r="U16" s="129">
        <f t="shared" si="8"/>
        <v>2331.0700000000002</v>
      </c>
      <c r="V16" s="128">
        <f>V15+70.92</f>
        <v>496.42000000000007</v>
      </c>
      <c r="W16" s="128">
        <f t="shared" si="9"/>
        <v>2860.34</v>
      </c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</row>
    <row r="17" spans="1:256" ht="15.75" customHeight="1" x14ac:dyDescent="0.2">
      <c r="A17" s="127" t="s">
        <v>64</v>
      </c>
      <c r="B17" s="128">
        <f>B16+21.69</f>
        <v>173.5</v>
      </c>
      <c r="C17" s="128">
        <f t="shared" si="15"/>
        <v>896.42</v>
      </c>
      <c r="D17" s="129">
        <f t="shared" si="10"/>
        <v>213.68000000000004</v>
      </c>
      <c r="E17" s="129">
        <f t="shared" si="0"/>
        <v>1104.01</v>
      </c>
      <c r="F17" s="128">
        <f t="shared" si="11"/>
        <v>233.68000000000004</v>
      </c>
      <c r="G17" s="128">
        <f t="shared" si="1"/>
        <v>1207.3499999999999</v>
      </c>
      <c r="H17" s="129">
        <f t="shared" si="12"/>
        <v>254.07999999999998</v>
      </c>
      <c r="I17" s="129">
        <f t="shared" si="2"/>
        <v>1312.75</v>
      </c>
      <c r="J17" s="128">
        <f t="shared" si="13"/>
        <v>285.92</v>
      </c>
      <c r="K17" s="128">
        <f t="shared" si="3"/>
        <v>1477.25</v>
      </c>
      <c r="L17" s="129">
        <f>L16+40.63</f>
        <v>325.02</v>
      </c>
      <c r="M17" s="129">
        <f t="shared" si="4"/>
        <v>1679.27</v>
      </c>
      <c r="N17" s="128">
        <f t="shared" si="14"/>
        <v>385.36000000000007</v>
      </c>
      <c r="O17" s="128">
        <f t="shared" si="5"/>
        <v>1991.0300000000002</v>
      </c>
      <c r="P17" s="130">
        <f>P16+50.1</f>
        <v>400.78000000000003</v>
      </c>
      <c r="Q17" s="129">
        <f t="shared" si="6"/>
        <v>2070.7000000000003</v>
      </c>
      <c r="R17" s="128">
        <f>R16+52.98</f>
        <v>423.82000000000005</v>
      </c>
      <c r="S17" s="128">
        <f t="shared" si="7"/>
        <v>2189.7400000000002</v>
      </c>
      <c r="T17" s="129">
        <f>T16+57.79</f>
        <v>462.36</v>
      </c>
      <c r="U17" s="129">
        <f t="shared" si="8"/>
        <v>2388.86</v>
      </c>
      <c r="V17" s="128">
        <f>V16+70.92</f>
        <v>567.34</v>
      </c>
      <c r="W17" s="128">
        <f t="shared" si="9"/>
        <v>2931.26</v>
      </c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</row>
    <row r="18" spans="1:256" ht="15.75" customHeight="1" x14ac:dyDescent="0.2">
      <c r="A18" s="127" t="s">
        <v>65</v>
      </c>
      <c r="B18" s="128">
        <f>B17+21.68</f>
        <v>195.18</v>
      </c>
      <c r="C18" s="128">
        <f t="shared" si="15"/>
        <v>918.09999999999991</v>
      </c>
      <c r="D18" s="129">
        <f t="shared" si="10"/>
        <v>240.39000000000004</v>
      </c>
      <c r="E18" s="129">
        <f t="shared" si="0"/>
        <v>1130.72</v>
      </c>
      <c r="F18" s="128">
        <f t="shared" si="11"/>
        <v>262.89000000000004</v>
      </c>
      <c r="G18" s="128">
        <f t="shared" si="1"/>
        <v>1236.56</v>
      </c>
      <c r="H18" s="129">
        <f t="shared" si="12"/>
        <v>285.83999999999997</v>
      </c>
      <c r="I18" s="129">
        <f t="shared" si="2"/>
        <v>1344.51</v>
      </c>
      <c r="J18" s="128">
        <f t="shared" si="13"/>
        <v>321.66000000000003</v>
      </c>
      <c r="K18" s="128">
        <f t="shared" si="3"/>
        <v>1512.99</v>
      </c>
      <c r="L18" s="129">
        <f>L17+40.63</f>
        <v>365.65</v>
      </c>
      <c r="M18" s="129">
        <f t="shared" si="4"/>
        <v>1719.9</v>
      </c>
      <c r="N18" s="128">
        <f t="shared" si="14"/>
        <v>433.53000000000009</v>
      </c>
      <c r="O18" s="128">
        <f t="shared" si="5"/>
        <v>2039.2000000000003</v>
      </c>
      <c r="P18" s="130">
        <f>P17+50.09</f>
        <v>450.87</v>
      </c>
      <c r="Q18" s="129">
        <f t="shared" si="6"/>
        <v>2120.79</v>
      </c>
      <c r="R18" s="128">
        <f>R17+52.97</f>
        <v>476.79000000000008</v>
      </c>
      <c r="S18" s="128">
        <f t="shared" si="7"/>
        <v>2242.71</v>
      </c>
      <c r="T18" s="129">
        <f>T17+57.8</f>
        <v>520.16</v>
      </c>
      <c r="U18" s="129">
        <f t="shared" si="8"/>
        <v>2446.66</v>
      </c>
      <c r="V18" s="128">
        <f>V17+70.91</f>
        <v>638.25</v>
      </c>
      <c r="W18" s="128">
        <f t="shared" si="9"/>
        <v>3002.17</v>
      </c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31"/>
    </row>
    <row r="19" spans="1:256" ht="15.75" customHeight="1" x14ac:dyDescent="0.2">
      <c r="A19" s="127" t="s">
        <v>66</v>
      </c>
      <c r="B19" s="128">
        <f>B18+21.69</f>
        <v>216.87</v>
      </c>
      <c r="C19" s="128">
        <f t="shared" si="15"/>
        <v>939.79</v>
      </c>
      <c r="D19" s="129">
        <f t="shared" si="10"/>
        <v>267.10000000000002</v>
      </c>
      <c r="E19" s="129">
        <f t="shared" si="0"/>
        <v>1157.43</v>
      </c>
      <c r="F19" s="128">
        <f t="shared" si="11"/>
        <v>292.10000000000002</v>
      </c>
      <c r="G19" s="128">
        <f t="shared" si="1"/>
        <v>1265.77</v>
      </c>
      <c r="H19" s="129">
        <f t="shared" si="12"/>
        <v>317.59999999999997</v>
      </c>
      <c r="I19" s="129">
        <f t="shared" si="2"/>
        <v>1376.27</v>
      </c>
      <c r="J19" s="128">
        <f t="shared" si="13"/>
        <v>357.40000000000003</v>
      </c>
      <c r="K19" s="128">
        <f t="shared" si="3"/>
        <v>1548.73</v>
      </c>
      <c r="L19" s="129">
        <f>L18+40.63</f>
        <v>406.28</v>
      </c>
      <c r="M19" s="129">
        <f t="shared" si="4"/>
        <v>1760.53</v>
      </c>
      <c r="N19" s="128">
        <f t="shared" si="14"/>
        <v>481.7000000000001</v>
      </c>
      <c r="O19" s="128">
        <f t="shared" si="5"/>
        <v>2087.3700000000003</v>
      </c>
      <c r="P19" s="130">
        <f>P18+50.1</f>
        <v>500.97</v>
      </c>
      <c r="Q19" s="129">
        <f t="shared" si="6"/>
        <v>2170.8900000000003</v>
      </c>
      <c r="R19" s="128">
        <f>R18+52.98</f>
        <v>529.7700000000001</v>
      </c>
      <c r="S19" s="128">
        <f t="shared" si="7"/>
        <v>2295.69</v>
      </c>
      <c r="T19" s="129">
        <f>T18+57.79</f>
        <v>577.94999999999993</v>
      </c>
      <c r="U19" s="129">
        <f t="shared" si="8"/>
        <v>2504.4499999999998</v>
      </c>
      <c r="V19" s="128">
        <f>V18+70.92</f>
        <v>709.17</v>
      </c>
      <c r="W19" s="128">
        <f t="shared" si="9"/>
        <v>3073.09</v>
      </c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31"/>
    </row>
    <row r="20" spans="1:256" ht="15.75" customHeight="1" x14ac:dyDescent="0.2">
      <c r="A20" s="127" t="s">
        <v>67</v>
      </c>
      <c r="B20" s="128">
        <f>B19+21.69</f>
        <v>238.56</v>
      </c>
      <c r="C20" s="128">
        <f t="shared" si="15"/>
        <v>961.48</v>
      </c>
      <c r="D20" s="129">
        <f t="shared" si="10"/>
        <v>293.81</v>
      </c>
      <c r="E20" s="129">
        <f t="shared" si="0"/>
        <v>1184.1400000000001</v>
      </c>
      <c r="F20" s="128">
        <f t="shared" si="11"/>
        <v>321.31</v>
      </c>
      <c r="G20" s="128">
        <f t="shared" si="1"/>
        <v>1294.98</v>
      </c>
      <c r="H20" s="129">
        <f t="shared" si="12"/>
        <v>349.35999999999996</v>
      </c>
      <c r="I20" s="129">
        <f t="shared" si="2"/>
        <v>1408.03</v>
      </c>
      <c r="J20" s="128">
        <f t="shared" si="13"/>
        <v>393.14000000000004</v>
      </c>
      <c r="K20" s="128">
        <f t="shared" si="3"/>
        <v>1584.47</v>
      </c>
      <c r="L20" s="129">
        <f>L19+40.62</f>
        <v>446.9</v>
      </c>
      <c r="M20" s="129">
        <f t="shared" si="4"/>
        <v>1801.15</v>
      </c>
      <c r="N20" s="128">
        <f t="shared" si="14"/>
        <v>529.87000000000012</v>
      </c>
      <c r="O20" s="128">
        <f t="shared" si="5"/>
        <v>2135.54</v>
      </c>
      <c r="P20" s="130">
        <f>P19+50.1</f>
        <v>551.07000000000005</v>
      </c>
      <c r="Q20" s="129">
        <f t="shared" si="6"/>
        <v>2220.9900000000002</v>
      </c>
      <c r="R20" s="128">
        <f>R19+52.98</f>
        <v>582.75000000000011</v>
      </c>
      <c r="S20" s="128">
        <f t="shared" si="7"/>
        <v>2348.67</v>
      </c>
      <c r="T20" s="129">
        <f>T19+57.8</f>
        <v>635.74999999999989</v>
      </c>
      <c r="U20" s="129">
        <f t="shared" si="8"/>
        <v>2562.25</v>
      </c>
      <c r="V20" s="128">
        <f>V19+70.92</f>
        <v>780.08999999999992</v>
      </c>
      <c r="W20" s="128">
        <f t="shared" si="9"/>
        <v>3144.01</v>
      </c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31"/>
    </row>
    <row r="21" spans="1:256" ht="15.75" customHeight="1" x14ac:dyDescent="0.2">
      <c r="A21" s="127" t="s">
        <v>68</v>
      </c>
      <c r="B21" s="128">
        <f>B20+21.69</f>
        <v>260.25</v>
      </c>
      <c r="C21" s="128">
        <f t="shared" si="15"/>
        <v>983.17</v>
      </c>
      <c r="D21" s="129">
        <f t="shared" si="10"/>
        <v>320.52</v>
      </c>
      <c r="E21" s="129">
        <f t="shared" si="0"/>
        <v>1210.8499999999999</v>
      </c>
      <c r="F21" s="128">
        <f t="shared" si="11"/>
        <v>350.52</v>
      </c>
      <c r="G21" s="128">
        <f t="shared" si="1"/>
        <v>1324.19</v>
      </c>
      <c r="H21" s="129">
        <f t="shared" si="12"/>
        <v>381.11999999999995</v>
      </c>
      <c r="I21" s="129">
        <f t="shared" si="2"/>
        <v>1439.79</v>
      </c>
      <c r="J21" s="128">
        <f t="shared" si="13"/>
        <v>428.88000000000005</v>
      </c>
      <c r="K21" s="128">
        <f t="shared" si="3"/>
        <v>1620.21</v>
      </c>
      <c r="L21" s="129">
        <f>L20+40.63</f>
        <v>487.53</v>
      </c>
      <c r="M21" s="129">
        <f t="shared" si="4"/>
        <v>1841.78</v>
      </c>
      <c r="N21" s="128">
        <f t="shared" si="14"/>
        <v>578.04000000000008</v>
      </c>
      <c r="O21" s="128">
        <f t="shared" si="5"/>
        <v>2183.71</v>
      </c>
      <c r="P21" s="130">
        <f>P20+50.1</f>
        <v>601.17000000000007</v>
      </c>
      <c r="Q21" s="129">
        <f t="shared" si="6"/>
        <v>2271.09</v>
      </c>
      <c r="R21" s="128">
        <f>R20+52.98</f>
        <v>635.73000000000013</v>
      </c>
      <c r="S21" s="128">
        <f t="shared" si="7"/>
        <v>2401.65</v>
      </c>
      <c r="T21" s="129">
        <f>T20+57.79</f>
        <v>693.53999999999985</v>
      </c>
      <c r="U21" s="129">
        <f t="shared" si="8"/>
        <v>2620.04</v>
      </c>
      <c r="V21" s="128">
        <f>V20+70.92</f>
        <v>851.00999999999988</v>
      </c>
      <c r="W21" s="128">
        <f t="shared" si="9"/>
        <v>3214.93</v>
      </c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31"/>
    </row>
    <row r="22" spans="1:256" ht="15.75" customHeight="1" x14ac:dyDescent="0.2">
      <c r="A22" s="127" t="s">
        <v>69</v>
      </c>
      <c r="B22" s="128">
        <f>B21+21.68</f>
        <v>281.93</v>
      </c>
      <c r="C22" s="128">
        <f t="shared" si="15"/>
        <v>1004.8499999999999</v>
      </c>
      <c r="D22" s="129">
        <f t="shared" si="10"/>
        <v>347.22999999999996</v>
      </c>
      <c r="E22" s="129">
        <f t="shared" si="0"/>
        <v>1237.56</v>
      </c>
      <c r="F22" s="128">
        <f t="shared" si="11"/>
        <v>379.72999999999996</v>
      </c>
      <c r="G22" s="128">
        <f t="shared" si="1"/>
        <v>1353.3999999999999</v>
      </c>
      <c r="H22" s="129">
        <f t="shared" si="12"/>
        <v>412.87999999999994</v>
      </c>
      <c r="I22" s="129">
        <f t="shared" si="2"/>
        <v>1471.55</v>
      </c>
      <c r="J22" s="128">
        <f t="shared" si="13"/>
        <v>464.62000000000006</v>
      </c>
      <c r="K22" s="128">
        <f t="shared" si="3"/>
        <v>1655.95</v>
      </c>
      <c r="L22" s="129">
        <f>L21+40.63</f>
        <v>528.16</v>
      </c>
      <c r="M22" s="129">
        <f t="shared" si="4"/>
        <v>1882.4099999999999</v>
      </c>
      <c r="N22" s="128">
        <f t="shared" si="14"/>
        <v>626.21</v>
      </c>
      <c r="O22" s="128">
        <f t="shared" si="5"/>
        <v>2231.88</v>
      </c>
      <c r="P22" s="130">
        <f>P21+50.09</f>
        <v>651.2600000000001</v>
      </c>
      <c r="Q22" s="129">
        <f t="shared" si="6"/>
        <v>2321.1800000000003</v>
      </c>
      <c r="R22" s="128">
        <f>R21+52.97</f>
        <v>688.70000000000016</v>
      </c>
      <c r="S22" s="128">
        <f t="shared" si="7"/>
        <v>2454.6200000000003</v>
      </c>
      <c r="T22" s="129">
        <f>T21+57.8</f>
        <v>751.3399999999998</v>
      </c>
      <c r="U22" s="129">
        <f t="shared" si="8"/>
        <v>2677.8399999999997</v>
      </c>
      <c r="V22" s="128">
        <f>V21+70.91</f>
        <v>921.91999999999985</v>
      </c>
      <c r="W22" s="128">
        <f t="shared" si="9"/>
        <v>3285.84</v>
      </c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  <c r="IH22" s="131"/>
      <c r="II22" s="131"/>
      <c r="IJ22" s="131"/>
      <c r="IK22" s="131"/>
      <c r="IL22" s="131"/>
      <c r="IM22" s="131"/>
      <c r="IN22" s="131"/>
      <c r="IO22" s="131"/>
      <c r="IP22" s="131"/>
      <c r="IQ22" s="131"/>
      <c r="IR22" s="131"/>
      <c r="IS22" s="131"/>
      <c r="IT22" s="131"/>
      <c r="IU22" s="131"/>
      <c r="IV22" s="131"/>
    </row>
    <row r="23" spans="1:256" ht="15.75" customHeight="1" x14ac:dyDescent="0.2">
      <c r="A23" s="127" t="s">
        <v>70</v>
      </c>
      <c r="B23" s="128">
        <f>B22+21.69</f>
        <v>303.62</v>
      </c>
      <c r="C23" s="128">
        <f t="shared" si="15"/>
        <v>1026.54</v>
      </c>
      <c r="D23" s="129">
        <f t="shared" si="10"/>
        <v>373.93999999999994</v>
      </c>
      <c r="E23" s="129">
        <f t="shared" si="0"/>
        <v>1264.27</v>
      </c>
      <c r="F23" s="128">
        <f t="shared" si="11"/>
        <v>408.93999999999994</v>
      </c>
      <c r="G23" s="128">
        <f t="shared" si="1"/>
        <v>1382.61</v>
      </c>
      <c r="H23" s="129">
        <f t="shared" si="12"/>
        <v>444.63999999999993</v>
      </c>
      <c r="I23" s="129">
        <f t="shared" si="2"/>
        <v>1503.31</v>
      </c>
      <c r="J23" s="128">
        <f t="shared" si="13"/>
        <v>500.36000000000007</v>
      </c>
      <c r="K23" s="128">
        <f t="shared" si="3"/>
        <v>1691.69</v>
      </c>
      <c r="L23" s="129">
        <f>L22+40.63</f>
        <v>568.79</v>
      </c>
      <c r="M23" s="129">
        <f t="shared" si="4"/>
        <v>1923.04</v>
      </c>
      <c r="N23" s="128">
        <f t="shared" si="14"/>
        <v>674.38</v>
      </c>
      <c r="O23" s="128">
        <f t="shared" si="5"/>
        <v>2280.0500000000002</v>
      </c>
      <c r="P23" s="130">
        <f>P22+50.1</f>
        <v>701.36000000000013</v>
      </c>
      <c r="Q23" s="129">
        <f t="shared" si="6"/>
        <v>2371.2800000000002</v>
      </c>
      <c r="R23" s="128">
        <f>R22+52.98</f>
        <v>741.68000000000018</v>
      </c>
      <c r="S23" s="128">
        <f t="shared" si="7"/>
        <v>2507.6000000000004</v>
      </c>
      <c r="T23" s="129">
        <f>T22+57.79</f>
        <v>809.12999999999977</v>
      </c>
      <c r="U23" s="129">
        <f t="shared" si="8"/>
        <v>2735.6299999999997</v>
      </c>
      <c r="V23" s="128">
        <f>V22+70.92</f>
        <v>992.8399999999998</v>
      </c>
      <c r="W23" s="128">
        <f t="shared" si="9"/>
        <v>3356.7599999999998</v>
      </c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1"/>
      <c r="HB23" s="131"/>
      <c r="HC23" s="131"/>
      <c r="HD23" s="131"/>
      <c r="HE23" s="131"/>
      <c r="HF23" s="131"/>
      <c r="HG23" s="131"/>
      <c r="HH23" s="131"/>
      <c r="HI23" s="131"/>
      <c r="HJ23" s="131"/>
      <c r="HK23" s="131"/>
      <c r="HL23" s="131"/>
      <c r="HM23" s="131"/>
      <c r="HN23" s="131"/>
      <c r="HO23" s="131"/>
      <c r="HP23" s="131"/>
      <c r="HQ23" s="131"/>
      <c r="HR23" s="131"/>
      <c r="HS23" s="131"/>
      <c r="HT23" s="131"/>
      <c r="HU23" s="131"/>
      <c r="HV23" s="131"/>
      <c r="HW23" s="131"/>
      <c r="HX23" s="131"/>
      <c r="HY23" s="131"/>
      <c r="HZ23" s="131"/>
      <c r="IA23" s="131"/>
      <c r="IB23" s="131"/>
      <c r="IC23" s="131"/>
      <c r="ID23" s="131"/>
      <c r="IE23" s="131"/>
      <c r="IF23" s="131"/>
      <c r="IG23" s="131"/>
      <c r="IH23" s="131"/>
      <c r="II23" s="131"/>
      <c r="IJ23" s="131"/>
      <c r="IK23" s="131"/>
      <c r="IL23" s="131"/>
      <c r="IM23" s="131"/>
      <c r="IN23" s="131"/>
      <c r="IO23" s="131"/>
      <c r="IP23" s="131"/>
      <c r="IQ23" s="131"/>
      <c r="IR23" s="131"/>
      <c r="IS23" s="131"/>
      <c r="IT23" s="131"/>
      <c r="IU23" s="131"/>
      <c r="IV23" s="131"/>
    </row>
    <row r="24" spans="1:256" ht="15.75" customHeight="1" x14ac:dyDescent="0.2">
      <c r="A24" s="127" t="s">
        <v>71</v>
      </c>
      <c r="B24" s="128">
        <f>B23+21.69</f>
        <v>325.31</v>
      </c>
      <c r="C24" s="128">
        <f t="shared" si="15"/>
        <v>1048.23</v>
      </c>
      <c r="D24" s="129">
        <f t="shared" si="10"/>
        <v>400.64999999999992</v>
      </c>
      <c r="E24" s="129">
        <f t="shared" si="0"/>
        <v>1290.98</v>
      </c>
      <c r="F24" s="128">
        <f t="shared" si="11"/>
        <v>438.14999999999992</v>
      </c>
      <c r="G24" s="128">
        <f t="shared" si="1"/>
        <v>1411.82</v>
      </c>
      <c r="H24" s="129">
        <f t="shared" si="12"/>
        <v>476.39999999999992</v>
      </c>
      <c r="I24" s="129">
        <f t="shared" si="2"/>
        <v>1535.07</v>
      </c>
      <c r="J24" s="128">
        <f t="shared" si="13"/>
        <v>536.1</v>
      </c>
      <c r="K24" s="128">
        <f t="shared" si="3"/>
        <v>1727.4299999999998</v>
      </c>
      <c r="L24" s="129">
        <f>L23+40.62</f>
        <v>609.41</v>
      </c>
      <c r="M24" s="129">
        <f t="shared" si="4"/>
        <v>1963.6599999999999</v>
      </c>
      <c r="N24" s="128">
        <f t="shared" si="14"/>
        <v>722.55</v>
      </c>
      <c r="O24" s="128">
        <f t="shared" si="5"/>
        <v>2328.2200000000003</v>
      </c>
      <c r="P24" s="130">
        <f>P23+50.1</f>
        <v>751.46000000000015</v>
      </c>
      <c r="Q24" s="129">
        <f t="shared" si="6"/>
        <v>2421.38</v>
      </c>
      <c r="R24" s="128">
        <f>R23+52.98</f>
        <v>794.6600000000002</v>
      </c>
      <c r="S24" s="128">
        <f t="shared" si="7"/>
        <v>2560.5800000000004</v>
      </c>
      <c r="T24" s="129">
        <f>T23+57.8</f>
        <v>866.92999999999972</v>
      </c>
      <c r="U24" s="129">
        <f t="shared" si="8"/>
        <v>2793.43</v>
      </c>
      <c r="V24" s="128">
        <f>V23+70.92</f>
        <v>1063.7599999999998</v>
      </c>
      <c r="W24" s="128">
        <f t="shared" si="9"/>
        <v>3427.68</v>
      </c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  <c r="HX24" s="131"/>
      <c r="HY24" s="131"/>
      <c r="HZ24" s="131"/>
      <c r="IA24" s="131"/>
      <c r="IB24" s="131"/>
      <c r="IC24" s="131"/>
      <c r="ID24" s="131"/>
      <c r="IE24" s="131"/>
      <c r="IF24" s="131"/>
      <c r="IG24" s="131"/>
      <c r="IH24" s="131"/>
      <c r="II24" s="131"/>
      <c r="IJ24" s="131"/>
      <c r="IK24" s="131"/>
      <c r="IL24" s="131"/>
      <c r="IM24" s="131"/>
      <c r="IN24" s="131"/>
      <c r="IO24" s="131"/>
      <c r="IP24" s="131"/>
      <c r="IQ24" s="131"/>
      <c r="IR24" s="131"/>
      <c r="IS24" s="131"/>
      <c r="IT24" s="131"/>
      <c r="IU24" s="131"/>
      <c r="IV24" s="131"/>
    </row>
    <row r="25" spans="1:256" ht="15.75" customHeight="1" x14ac:dyDescent="0.2">
      <c r="A25" s="127" t="s">
        <v>72</v>
      </c>
      <c r="B25" s="128">
        <f>B24+21.69</f>
        <v>347</v>
      </c>
      <c r="C25" s="128">
        <f t="shared" si="15"/>
        <v>1069.92</v>
      </c>
      <c r="D25" s="129">
        <f t="shared" si="10"/>
        <v>427.3599999999999</v>
      </c>
      <c r="E25" s="129">
        <f t="shared" si="0"/>
        <v>1317.69</v>
      </c>
      <c r="F25" s="128">
        <f t="shared" si="11"/>
        <v>467.3599999999999</v>
      </c>
      <c r="G25" s="128">
        <f t="shared" si="1"/>
        <v>1441.0299999999997</v>
      </c>
      <c r="H25" s="129">
        <f t="shared" si="12"/>
        <v>508.15999999999991</v>
      </c>
      <c r="I25" s="129">
        <f t="shared" si="2"/>
        <v>1566.83</v>
      </c>
      <c r="J25" s="128">
        <f t="shared" si="13"/>
        <v>571.84</v>
      </c>
      <c r="K25" s="128">
        <f t="shared" si="3"/>
        <v>1763.17</v>
      </c>
      <c r="L25" s="129">
        <f>L24+40.63</f>
        <v>650.04</v>
      </c>
      <c r="M25" s="129">
        <f t="shared" si="4"/>
        <v>2004.29</v>
      </c>
      <c r="N25" s="128">
        <f t="shared" si="14"/>
        <v>770.71999999999991</v>
      </c>
      <c r="O25" s="128">
        <f t="shared" si="5"/>
        <v>2376.39</v>
      </c>
      <c r="P25" s="130">
        <f>P24+50.1</f>
        <v>801.56000000000017</v>
      </c>
      <c r="Q25" s="129">
        <f t="shared" si="6"/>
        <v>2471.4800000000005</v>
      </c>
      <c r="R25" s="128">
        <f>R24+52.98</f>
        <v>847.64000000000021</v>
      </c>
      <c r="S25" s="128">
        <f t="shared" si="7"/>
        <v>2613.5600000000004</v>
      </c>
      <c r="T25" s="129">
        <f>T24+57.79</f>
        <v>924.71999999999969</v>
      </c>
      <c r="U25" s="129">
        <f t="shared" si="8"/>
        <v>2851.22</v>
      </c>
      <c r="V25" s="128">
        <f>V24+70.92</f>
        <v>1134.6799999999998</v>
      </c>
      <c r="W25" s="128">
        <f t="shared" si="9"/>
        <v>3498.6</v>
      </c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31"/>
      <c r="EK25" s="131"/>
      <c r="EL25" s="131"/>
      <c r="EM25" s="131"/>
      <c r="EN25" s="131"/>
      <c r="EO25" s="131"/>
      <c r="EP25" s="131"/>
      <c r="EQ25" s="131"/>
      <c r="ER25" s="131"/>
      <c r="ES25" s="131"/>
      <c r="ET25" s="131"/>
      <c r="EU25" s="131"/>
      <c r="EV25" s="131"/>
      <c r="EW25" s="131"/>
      <c r="EX25" s="131"/>
      <c r="EY25" s="131"/>
      <c r="EZ25" s="131"/>
      <c r="FA25" s="131"/>
      <c r="FB25" s="131"/>
      <c r="FC25" s="131"/>
      <c r="FD25" s="131"/>
      <c r="FE25" s="131"/>
      <c r="FF25" s="131"/>
      <c r="FG25" s="131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1"/>
      <c r="FU25" s="131"/>
      <c r="FV25" s="131"/>
      <c r="FW25" s="131"/>
      <c r="FX25" s="131"/>
      <c r="FY25" s="131"/>
      <c r="FZ25" s="131"/>
      <c r="GA25" s="131"/>
      <c r="GB25" s="131"/>
      <c r="GC25" s="131"/>
      <c r="GD25" s="131"/>
      <c r="GE25" s="131"/>
      <c r="GF25" s="131"/>
      <c r="GG25" s="131"/>
      <c r="GH25" s="131"/>
      <c r="GI25" s="131"/>
      <c r="GJ25" s="131"/>
      <c r="GK25" s="131"/>
      <c r="GL25" s="131"/>
      <c r="GM25" s="131"/>
      <c r="GN25" s="131"/>
      <c r="GO25" s="131"/>
      <c r="GP25" s="131"/>
      <c r="GQ25" s="131"/>
      <c r="GR25" s="131"/>
      <c r="GS25" s="131"/>
      <c r="GT25" s="131"/>
      <c r="GU25" s="131"/>
      <c r="GV25" s="131"/>
      <c r="GW25" s="131"/>
      <c r="GX25" s="131"/>
      <c r="GY25" s="131"/>
      <c r="GZ25" s="131"/>
      <c r="HA25" s="131"/>
      <c r="HB25" s="131"/>
      <c r="HC25" s="131"/>
      <c r="HD25" s="131"/>
      <c r="HE25" s="131"/>
      <c r="HF25" s="131"/>
      <c r="HG25" s="131"/>
      <c r="HH25" s="131"/>
      <c r="HI25" s="131"/>
      <c r="HJ25" s="131"/>
      <c r="HK25" s="131"/>
      <c r="HL25" s="131"/>
      <c r="HM25" s="131"/>
      <c r="HN25" s="131"/>
      <c r="HO25" s="131"/>
      <c r="HP25" s="131"/>
      <c r="HQ25" s="131"/>
      <c r="HR25" s="131"/>
      <c r="HS25" s="131"/>
      <c r="HT25" s="131"/>
      <c r="HU25" s="131"/>
      <c r="HV25" s="131"/>
      <c r="HW25" s="131"/>
      <c r="HX25" s="131"/>
      <c r="HY25" s="131"/>
      <c r="HZ25" s="131"/>
      <c r="IA25" s="131"/>
      <c r="IB25" s="131"/>
      <c r="IC25" s="131"/>
      <c r="ID25" s="131"/>
      <c r="IE25" s="131"/>
      <c r="IF25" s="131"/>
      <c r="IG25" s="131"/>
      <c r="IH25" s="131"/>
      <c r="II25" s="131"/>
      <c r="IJ25" s="131"/>
      <c r="IK25" s="131"/>
      <c r="IL25" s="131"/>
      <c r="IM25" s="131"/>
      <c r="IN25" s="131"/>
      <c r="IO25" s="131"/>
      <c r="IP25" s="131"/>
      <c r="IQ25" s="131"/>
      <c r="IR25" s="131"/>
      <c r="IS25" s="131"/>
      <c r="IT25" s="131"/>
      <c r="IU25" s="131"/>
      <c r="IV25" s="131"/>
    </row>
    <row r="26" spans="1:256" ht="15.75" customHeight="1" x14ac:dyDescent="0.2">
      <c r="A26" s="127" t="s">
        <v>73</v>
      </c>
      <c r="B26" s="128">
        <f>B25+21.68</f>
        <v>368.68</v>
      </c>
      <c r="C26" s="128">
        <f t="shared" si="15"/>
        <v>1091.5999999999999</v>
      </c>
      <c r="D26" s="129">
        <f t="shared" si="10"/>
        <v>454.06999999999988</v>
      </c>
      <c r="E26" s="129">
        <f t="shared" si="0"/>
        <v>1344.3999999999999</v>
      </c>
      <c r="F26" s="128">
        <f t="shared" si="11"/>
        <v>496.56999999999988</v>
      </c>
      <c r="G26" s="128">
        <f t="shared" si="1"/>
        <v>1470.2399999999998</v>
      </c>
      <c r="H26" s="129">
        <f t="shared" si="12"/>
        <v>539.91999999999996</v>
      </c>
      <c r="I26" s="129">
        <f t="shared" si="2"/>
        <v>1598.5900000000001</v>
      </c>
      <c r="J26" s="128">
        <f t="shared" si="13"/>
        <v>607.58000000000004</v>
      </c>
      <c r="K26" s="128">
        <f t="shared" si="3"/>
        <v>1798.9099999999999</v>
      </c>
      <c r="L26" s="129">
        <f>L25+40.63</f>
        <v>690.67</v>
      </c>
      <c r="M26" s="129">
        <f t="shared" si="4"/>
        <v>2044.92</v>
      </c>
      <c r="N26" s="128">
        <f t="shared" si="14"/>
        <v>818.88999999999987</v>
      </c>
      <c r="O26" s="128">
        <f t="shared" si="5"/>
        <v>2424.56</v>
      </c>
      <c r="P26" s="130">
        <f>P25+50.09</f>
        <v>851.6500000000002</v>
      </c>
      <c r="Q26" s="129">
        <f t="shared" si="6"/>
        <v>2521.5700000000002</v>
      </c>
      <c r="R26" s="128">
        <f>R25+52.97</f>
        <v>900.61000000000024</v>
      </c>
      <c r="S26" s="128">
        <f t="shared" si="7"/>
        <v>2666.53</v>
      </c>
      <c r="T26" s="129">
        <f>T25+57.8</f>
        <v>982.51999999999964</v>
      </c>
      <c r="U26" s="129">
        <f t="shared" si="8"/>
        <v>2909.0199999999995</v>
      </c>
      <c r="V26" s="128">
        <f>V25+70.91</f>
        <v>1205.5899999999999</v>
      </c>
      <c r="W26" s="128">
        <f t="shared" si="9"/>
        <v>3569.51</v>
      </c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1"/>
      <c r="GD26" s="131"/>
      <c r="GE26" s="131"/>
      <c r="GF26" s="131"/>
      <c r="GG26" s="131"/>
      <c r="GH26" s="131"/>
      <c r="GI26" s="131"/>
      <c r="GJ26" s="131"/>
      <c r="GK26" s="131"/>
      <c r="GL26" s="131"/>
      <c r="GM26" s="131"/>
      <c r="GN26" s="131"/>
      <c r="GO26" s="131"/>
      <c r="GP26" s="131"/>
      <c r="GQ26" s="131"/>
      <c r="GR26" s="131"/>
      <c r="GS26" s="131"/>
      <c r="GT26" s="131"/>
      <c r="GU26" s="131"/>
      <c r="GV26" s="131"/>
      <c r="GW26" s="131"/>
      <c r="GX26" s="131"/>
      <c r="GY26" s="131"/>
      <c r="GZ26" s="131"/>
      <c r="HA26" s="131"/>
      <c r="HB26" s="131"/>
      <c r="HC26" s="131"/>
      <c r="HD26" s="131"/>
      <c r="HE26" s="131"/>
      <c r="HF26" s="131"/>
      <c r="HG26" s="131"/>
      <c r="HH26" s="131"/>
      <c r="HI26" s="131"/>
      <c r="HJ26" s="131"/>
      <c r="HK26" s="131"/>
      <c r="HL26" s="131"/>
      <c r="HM26" s="131"/>
      <c r="HN26" s="131"/>
      <c r="HO26" s="131"/>
      <c r="HP26" s="131"/>
      <c r="HQ26" s="131"/>
      <c r="HR26" s="131"/>
      <c r="HS26" s="131"/>
      <c r="HT26" s="131"/>
      <c r="HU26" s="131"/>
      <c r="HV26" s="131"/>
      <c r="HW26" s="131"/>
      <c r="HX26" s="131"/>
      <c r="HY26" s="131"/>
      <c r="HZ26" s="131"/>
      <c r="IA26" s="131"/>
      <c r="IB26" s="131"/>
      <c r="IC26" s="131"/>
      <c r="ID26" s="131"/>
      <c r="IE26" s="131"/>
      <c r="IF26" s="131"/>
      <c r="IG26" s="131"/>
      <c r="IH26" s="131"/>
      <c r="II26" s="131"/>
      <c r="IJ26" s="131"/>
      <c r="IK26" s="131"/>
      <c r="IL26" s="131"/>
      <c r="IM26" s="131"/>
      <c r="IN26" s="131"/>
      <c r="IO26" s="131"/>
      <c r="IP26" s="131"/>
      <c r="IQ26" s="131"/>
      <c r="IR26" s="131"/>
      <c r="IS26" s="131"/>
      <c r="IT26" s="131"/>
      <c r="IU26" s="131"/>
      <c r="IV26" s="131"/>
    </row>
    <row r="27" spans="1:256" ht="15.75" customHeight="1" x14ac:dyDescent="0.2">
      <c r="A27" s="127" t="s">
        <v>74</v>
      </c>
      <c r="B27" s="128">
        <f>B26+21.69</f>
        <v>390.37</v>
      </c>
      <c r="C27" s="128">
        <f t="shared" si="15"/>
        <v>1113.29</v>
      </c>
      <c r="D27" s="129">
        <f t="shared" si="10"/>
        <v>480.77999999999986</v>
      </c>
      <c r="E27" s="129">
        <f t="shared" si="0"/>
        <v>1371.11</v>
      </c>
      <c r="F27" s="128">
        <f t="shared" si="11"/>
        <v>525.77999999999986</v>
      </c>
      <c r="G27" s="128">
        <f t="shared" si="1"/>
        <v>1499.4499999999998</v>
      </c>
      <c r="H27" s="129">
        <f t="shared" si="12"/>
        <v>571.67999999999995</v>
      </c>
      <c r="I27" s="129">
        <f t="shared" si="2"/>
        <v>1630.35</v>
      </c>
      <c r="J27" s="128">
        <f t="shared" si="13"/>
        <v>643.32000000000005</v>
      </c>
      <c r="K27" s="128">
        <f t="shared" si="3"/>
        <v>1834.65</v>
      </c>
      <c r="L27" s="129">
        <f>L26+40.63</f>
        <v>731.3</v>
      </c>
      <c r="M27" s="129">
        <f t="shared" si="4"/>
        <v>2085.5500000000002</v>
      </c>
      <c r="N27" s="128">
        <f t="shared" si="14"/>
        <v>867.05999999999983</v>
      </c>
      <c r="O27" s="128">
        <f t="shared" si="5"/>
        <v>2472.73</v>
      </c>
      <c r="P27" s="130">
        <f>P26+50.1</f>
        <v>901.75000000000023</v>
      </c>
      <c r="Q27" s="129">
        <f t="shared" si="6"/>
        <v>2571.67</v>
      </c>
      <c r="R27" s="128">
        <f>R26+52.98</f>
        <v>953.59000000000026</v>
      </c>
      <c r="S27" s="128">
        <f t="shared" si="7"/>
        <v>2719.51</v>
      </c>
      <c r="T27" s="129">
        <f>T26+57.79</f>
        <v>1040.3099999999997</v>
      </c>
      <c r="U27" s="129">
        <f t="shared" si="8"/>
        <v>2966.8099999999995</v>
      </c>
      <c r="V27" s="128">
        <f>V26+70.92</f>
        <v>1276.51</v>
      </c>
      <c r="W27" s="128">
        <f t="shared" si="9"/>
        <v>3640.4300000000003</v>
      </c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1"/>
      <c r="GB27" s="131"/>
      <c r="GC27" s="131"/>
      <c r="GD27" s="131"/>
      <c r="GE27" s="131"/>
      <c r="GF27" s="131"/>
      <c r="GG27" s="131"/>
      <c r="GH27" s="131"/>
      <c r="GI27" s="131"/>
      <c r="GJ27" s="131"/>
      <c r="GK27" s="131"/>
      <c r="GL27" s="131"/>
      <c r="GM27" s="131"/>
      <c r="GN27" s="131"/>
      <c r="GO27" s="131"/>
      <c r="GP27" s="131"/>
      <c r="GQ27" s="131"/>
      <c r="GR27" s="131"/>
      <c r="GS27" s="131"/>
      <c r="GT27" s="131"/>
      <c r="GU27" s="131"/>
      <c r="GV27" s="131"/>
      <c r="GW27" s="131"/>
      <c r="GX27" s="131"/>
      <c r="GY27" s="131"/>
      <c r="GZ27" s="131"/>
      <c r="HA27" s="131"/>
      <c r="HB27" s="131"/>
      <c r="HC27" s="131"/>
      <c r="HD27" s="131"/>
      <c r="HE27" s="131"/>
      <c r="HF27" s="131"/>
      <c r="HG27" s="131"/>
      <c r="HH27" s="131"/>
      <c r="HI27" s="131"/>
      <c r="HJ27" s="131"/>
      <c r="HK27" s="131"/>
      <c r="HL27" s="131"/>
      <c r="HM27" s="131"/>
      <c r="HN27" s="131"/>
      <c r="HO27" s="131"/>
      <c r="HP27" s="131"/>
      <c r="HQ27" s="131"/>
      <c r="HR27" s="131"/>
      <c r="HS27" s="131"/>
      <c r="HT27" s="131"/>
      <c r="HU27" s="131"/>
      <c r="HV27" s="131"/>
      <c r="HW27" s="131"/>
      <c r="HX27" s="131"/>
      <c r="HY27" s="131"/>
      <c r="HZ27" s="131"/>
      <c r="IA27" s="131"/>
      <c r="IB27" s="131"/>
      <c r="IC27" s="131"/>
      <c r="ID27" s="131"/>
      <c r="IE27" s="131"/>
      <c r="IF27" s="131"/>
      <c r="IG27" s="131"/>
      <c r="IH27" s="131"/>
      <c r="II27" s="131"/>
      <c r="IJ27" s="131"/>
      <c r="IK27" s="131"/>
      <c r="IL27" s="131"/>
      <c r="IM27" s="131"/>
      <c r="IN27" s="131"/>
      <c r="IO27" s="131"/>
      <c r="IP27" s="131"/>
      <c r="IQ27" s="131"/>
      <c r="IR27" s="131"/>
      <c r="IS27" s="131"/>
      <c r="IT27" s="131"/>
      <c r="IU27" s="131"/>
      <c r="IV27" s="131"/>
    </row>
    <row r="28" spans="1:256" ht="15.75" customHeight="1" x14ac:dyDescent="0.2">
      <c r="A28" s="127" t="s">
        <v>75</v>
      </c>
      <c r="B28" s="128">
        <f>B27+21.69</f>
        <v>412.06</v>
      </c>
      <c r="C28" s="128">
        <f t="shared" si="15"/>
        <v>1134.98</v>
      </c>
      <c r="D28" s="129">
        <f t="shared" si="10"/>
        <v>507.48999999999984</v>
      </c>
      <c r="E28" s="129">
        <f t="shared" si="0"/>
        <v>1397.82</v>
      </c>
      <c r="F28" s="128">
        <f t="shared" si="11"/>
        <v>554.9899999999999</v>
      </c>
      <c r="G28" s="128">
        <f t="shared" si="1"/>
        <v>1528.6599999999999</v>
      </c>
      <c r="H28" s="129">
        <f t="shared" si="12"/>
        <v>603.43999999999994</v>
      </c>
      <c r="I28" s="129">
        <f t="shared" si="2"/>
        <v>1662.1100000000001</v>
      </c>
      <c r="J28" s="128">
        <f t="shared" si="13"/>
        <v>679.06000000000006</v>
      </c>
      <c r="K28" s="128">
        <f t="shared" si="3"/>
        <v>1870.3899999999999</v>
      </c>
      <c r="L28" s="129">
        <f>L27+40.62</f>
        <v>771.92</v>
      </c>
      <c r="M28" s="129">
        <f t="shared" si="4"/>
        <v>2126.17</v>
      </c>
      <c r="N28" s="128">
        <f t="shared" si="14"/>
        <v>915.22999999999979</v>
      </c>
      <c r="O28" s="128">
        <f t="shared" si="5"/>
        <v>2520.8999999999996</v>
      </c>
      <c r="P28" s="130">
        <f>P27+50.1</f>
        <v>951.85000000000025</v>
      </c>
      <c r="Q28" s="129">
        <f t="shared" si="6"/>
        <v>2621.7700000000004</v>
      </c>
      <c r="R28" s="128">
        <f>R27+52.98</f>
        <v>1006.5700000000003</v>
      </c>
      <c r="S28" s="128">
        <f t="shared" si="7"/>
        <v>2772.4900000000002</v>
      </c>
      <c r="T28" s="129">
        <f>T27+57.8</f>
        <v>1098.1099999999997</v>
      </c>
      <c r="U28" s="129">
        <f t="shared" si="8"/>
        <v>3024.6099999999997</v>
      </c>
      <c r="V28" s="128">
        <f>V27+70.92</f>
        <v>1347.43</v>
      </c>
      <c r="W28" s="128">
        <f t="shared" si="9"/>
        <v>3711.3500000000004</v>
      </c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131"/>
      <c r="GB28" s="131"/>
      <c r="GC28" s="131"/>
      <c r="GD28" s="131"/>
      <c r="GE28" s="131"/>
      <c r="GF28" s="131"/>
      <c r="GG28" s="131"/>
      <c r="GH28" s="131"/>
      <c r="GI28" s="131"/>
      <c r="GJ28" s="131"/>
      <c r="GK28" s="131"/>
      <c r="GL28" s="131"/>
      <c r="GM28" s="131"/>
      <c r="GN28" s="131"/>
      <c r="GO28" s="131"/>
      <c r="GP28" s="131"/>
      <c r="GQ28" s="131"/>
      <c r="GR28" s="131"/>
      <c r="GS28" s="131"/>
      <c r="GT28" s="131"/>
      <c r="GU28" s="131"/>
      <c r="GV28" s="131"/>
      <c r="GW28" s="131"/>
      <c r="GX28" s="131"/>
      <c r="GY28" s="131"/>
      <c r="GZ28" s="131"/>
      <c r="HA28" s="131"/>
      <c r="HB28" s="131"/>
      <c r="HC28" s="131"/>
      <c r="HD28" s="131"/>
      <c r="HE28" s="131"/>
      <c r="HF28" s="131"/>
      <c r="HG28" s="131"/>
      <c r="HH28" s="131"/>
      <c r="HI28" s="131"/>
      <c r="HJ28" s="131"/>
      <c r="HK28" s="131"/>
      <c r="HL28" s="131"/>
      <c r="HM28" s="131"/>
      <c r="HN28" s="131"/>
      <c r="HO28" s="131"/>
      <c r="HP28" s="131"/>
      <c r="HQ28" s="131"/>
      <c r="HR28" s="131"/>
      <c r="HS28" s="131"/>
      <c r="HT28" s="131"/>
      <c r="HU28" s="131"/>
      <c r="HV28" s="131"/>
      <c r="HW28" s="131"/>
      <c r="HX28" s="131"/>
      <c r="HY28" s="131"/>
      <c r="HZ28" s="131"/>
      <c r="IA28" s="131"/>
      <c r="IB28" s="131"/>
      <c r="IC28" s="131"/>
      <c r="ID28" s="131"/>
      <c r="IE28" s="131"/>
      <c r="IF28" s="131"/>
      <c r="IG28" s="131"/>
      <c r="IH28" s="131"/>
      <c r="II28" s="131"/>
      <c r="IJ28" s="131"/>
      <c r="IK28" s="131"/>
      <c r="IL28" s="131"/>
      <c r="IM28" s="131"/>
      <c r="IN28" s="131"/>
      <c r="IO28" s="131"/>
      <c r="IP28" s="131"/>
      <c r="IQ28" s="131"/>
      <c r="IR28" s="131"/>
      <c r="IS28" s="131"/>
      <c r="IT28" s="131"/>
      <c r="IU28" s="131"/>
      <c r="IV28" s="131"/>
    </row>
    <row r="29" spans="1:256" ht="15.75" customHeight="1" x14ac:dyDescent="0.2">
      <c r="A29" s="127" t="s">
        <v>76</v>
      </c>
      <c r="B29" s="128">
        <f>B28+21.69</f>
        <v>433.75</v>
      </c>
      <c r="C29" s="128">
        <f t="shared" si="15"/>
        <v>1156.67</v>
      </c>
      <c r="D29" s="129">
        <f t="shared" si="10"/>
        <v>534.19999999999982</v>
      </c>
      <c r="E29" s="129">
        <f t="shared" si="0"/>
        <v>1424.5299999999997</v>
      </c>
      <c r="F29" s="128">
        <f t="shared" si="11"/>
        <v>584.19999999999993</v>
      </c>
      <c r="G29" s="128">
        <f t="shared" si="1"/>
        <v>1557.87</v>
      </c>
      <c r="H29" s="129">
        <f t="shared" si="12"/>
        <v>635.19999999999993</v>
      </c>
      <c r="I29" s="129">
        <f t="shared" si="2"/>
        <v>1693.87</v>
      </c>
      <c r="J29" s="128">
        <f t="shared" si="13"/>
        <v>714.80000000000007</v>
      </c>
      <c r="K29" s="128">
        <f t="shared" si="3"/>
        <v>1906.13</v>
      </c>
      <c r="L29" s="129">
        <f>L28+40.63</f>
        <v>812.55</v>
      </c>
      <c r="M29" s="129">
        <f t="shared" si="4"/>
        <v>2166.8000000000002</v>
      </c>
      <c r="N29" s="128">
        <f t="shared" si="14"/>
        <v>963.39999999999975</v>
      </c>
      <c r="O29" s="128">
        <f t="shared" si="5"/>
        <v>2569.0699999999997</v>
      </c>
      <c r="P29" s="130">
        <f>P28+50.1</f>
        <v>1001.9500000000003</v>
      </c>
      <c r="Q29" s="129">
        <f t="shared" si="6"/>
        <v>2671.8700000000003</v>
      </c>
      <c r="R29" s="128">
        <f>R28+52.98</f>
        <v>1059.5500000000002</v>
      </c>
      <c r="S29" s="128">
        <f t="shared" si="7"/>
        <v>2825.4700000000003</v>
      </c>
      <c r="T29" s="129">
        <f>T28+57.79</f>
        <v>1155.8999999999996</v>
      </c>
      <c r="U29" s="129">
        <f t="shared" si="8"/>
        <v>3082.3999999999996</v>
      </c>
      <c r="V29" s="128">
        <f>V28+70.92</f>
        <v>1418.3500000000001</v>
      </c>
      <c r="W29" s="128">
        <f t="shared" si="9"/>
        <v>3782.2700000000004</v>
      </c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  <c r="GH29" s="131"/>
      <c r="GI29" s="131"/>
      <c r="GJ29" s="131"/>
      <c r="GK29" s="131"/>
      <c r="GL29" s="131"/>
      <c r="GM29" s="131"/>
      <c r="GN29" s="131"/>
      <c r="GO29" s="131"/>
      <c r="GP29" s="131"/>
      <c r="GQ29" s="131"/>
      <c r="GR29" s="131"/>
      <c r="GS29" s="131"/>
      <c r="GT29" s="131"/>
      <c r="GU29" s="131"/>
      <c r="GV29" s="131"/>
      <c r="GW29" s="131"/>
      <c r="GX29" s="131"/>
      <c r="GY29" s="131"/>
      <c r="GZ29" s="131"/>
      <c r="HA29" s="131"/>
      <c r="HB29" s="131"/>
      <c r="HC29" s="131"/>
      <c r="HD29" s="131"/>
      <c r="HE29" s="131"/>
      <c r="HF29" s="131"/>
      <c r="HG29" s="131"/>
      <c r="HH29" s="131"/>
      <c r="HI29" s="131"/>
      <c r="HJ29" s="131"/>
      <c r="HK29" s="131"/>
      <c r="HL29" s="131"/>
      <c r="HM29" s="131"/>
      <c r="HN29" s="131"/>
      <c r="HO29" s="131"/>
      <c r="HP29" s="131"/>
      <c r="HQ29" s="131"/>
      <c r="HR29" s="131"/>
      <c r="HS29" s="131"/>
      <c r="HT29" s="131"/>
      <c r="HU29" s="131"/>
      <c r="HV29" s="131"/>
      <c r="HW29" s="131"/>
      <c r="HX29" s="131"/>
      <c r="HY29" s="131"/>
      <c r="HZ29" s="131"/>
      <c r="IA29" s="131"/>
      <c r="IB29" s="131"/>
      <c r="IC29" s="131"/>
      <c r="ID29" s="131"/>
      <c r="IE29" s="131"/>
      <c r="IF29" s="131"/>
      <c r="IG29" s="131"/>
      <c r="IH29" s="131"/>
      <c r="II29" s="131"/>
      <c r="IJ29" s="131"/>
      <c r="IK29" s="131"/>
      <c r="IL29" s="131"/>
      <c r="IM29" s="131"/>
      <c r="IN29" s="131"/>
      <c r="IO29" s="131"/>
      <c r="IP29" s="131"/>
      <c r="IQ29" s="131"/>
      <c r="IR29" s="131"/>
      <c r="IS29" s="131"/>
      <c r="IT29" s="131"/>
      <c r="IU29" s="131"/>
      <c r="IV29" s="131"/>
    </row>
    <row r="30" spans="1:256" ht="15.75" customHeight="1" x14ac:dyDescent="0.2">
      <c r="A30" s="127" t="s">
        <v>77</v>
      </c>
      <c r="B30" s="128">
        <f>B29+21.68</f>
        <v>455.43</v>
      </c>
      <c r="C30" s="128">
        <f t="shared" si="15"/>
        <v>1178.3499999999999</v>
      </c>
      <c r="D30" s="129">
        <f t="shared" si="10"/>
        <v>560.90999999999985</v>
      </c>
      <c r="E30" s="129">
        <f t="shared" si="0"/>
        <v>1451.2399999999998</v>
      </c>
      <c r="F30" s="128">
        <f t="shared" si="11"/>
        <v>613.41</v>
      </c>
      <c r="G30" s="128">
        <f t="shared" si="1"/>
        <v>1587.08</v>
      </c>
      <c r="H30" s="129">
        <f t="shared" si="12"/>
        <v>666.95999999999992</v>
      </c>
      <c r="I30" s="129">
        <f t="shared" si="2"/>
        <v>1725.63</v>
      </c>
      <c r="J30" s="128">
        <f t="shared" si="13"/>
        <v>750.54000000000008</v>
      </c>
      <c r="K30" s="128">
        <f t="shared" si="3"/>
        <v>1941.87</v>
      </c>
      <c r="L30" s="129">
        <f>L29+40.63</f>
        <v>853.18</v>
      </c>
      <c r="M30" s="129">
        <f t="shared" si="4"/>
        <v>2207.4299999999998</v>
      </c>
      <c r="N30" s="128">
        <f t="shared" si="14"/>
        <v>1011.5699999999997</v>
      </c>
      <c r="O30" s="128">
        <f t="shared" si="5"/>
        <v>2617.2399999999998</v>
      </c>
      <c r="P30" s="130">
        <f>P29+50.09</f>
        <v>1052.0400000000002</v>
      </c>
      <c r="Q30" s="129">
        <f t="shared" si="6"/>
        <v>2721.96</v>
      </c>
      <c r="R30" s="128">
        <f>R29+52.97</f>
        <v>1112.5200000000002</v>
      </c>
      <c r="S30" s="128">
        <f t="shared" si="7"/>
        <v>2878.4400000000005</v>
      </c>
      <c r="T30" s="129">
        <f>T29+57.8</f>
        <v>1213.6999999999996</v>
      </c>
      <c r="U30" s="129">
        <f t="shared" si="8"/>
        <v>3140.2</v>
      </c>
      <c r="V30" s="128">
        <f>V29+70.91</f>
        <v>1489.2600000000002</v>
      </c>
      <c r="W30" s="128">
        <f t="shared" si="9"/>
        <v>3853.1800000000003</v>
      </c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1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  <c r="GH30" s="131"/>
      <c r="GI30" s="131"/>
      <c r="GJ30" s="131"/>
      <c r="GK30" s="131"/>
      <c r="GL30" s="131"/>
      <c r="GM30" s="131"/>
      <c r="GN30" s="131"/>
      <c r="GO30" s="131"/>
      <c r="GP30" s="131"/>
      <c r="GQ30" s="131"/>
      <c r="GR30" s="131"/>
      <c r="GS30" s="131"/>
      <c r="GT30" s="131"/>
      <c r="GU30" s="131"/>
      <c r="GV30" s="131"/>
      <c r="GW30" s="131"/>
      <c r="GX30" s="131"/>
      <c r="GY30" s="131"/>
      <c r="GZ30" s="131"/>
      <c r="HA30" s="131"/>
      <c r="HB30" s="131"/>
      <c r="HC30" s="131"/>
      <c r="HD30" s="131"/>
      <c r="HE30" s="131"/>
      <c r="HF30" s="131"/>
      <c r="HG30" s="131"/>
      <c r="HH30" s="131"/>
      <c r="HI30" s="131"/>
      <c r="HJ30" s="131"/>
      <c r="HK30" s="131"/>
      <c r="HL30" s="131"/>
      <c r="HM30" s="131"/>
      <c r="HN30" s="131"/>
      <c r="HO30" s="131"/>
      <c r="HP30" s="131"/>
      <c r="HQ30" s="131"/>
      <c r="HR30" s="131"/>
      <c r="HS30" s="131"/>
      <c r="HT30" s="131"/>
      <c r="HU30" s="131"/>
      <c r="HV30" s="131"/>
      <c r="HW30" s="131"/>
      <c r="HX30" s="131"/>
      <c r="HY30" s="131"/>
      <c r="HZ30" s="131"/>
      <c r="IA30" s="131"/>
      <c r="IB30" s="131"/>
      <c r="IC30" s="131"/>
      <c r="ID30" s="131"/>
      <c r="IE30" s="131"/>
      <c r="IF30" s="131"/>
      <c r="IG30" s="131"/>
      <c r="IH30" s="131"/>
      <c r="II30" s="131"/>
      <c r="IJ30" s="131"/>
      <c r="IK30" s="131"/>
      <c r="IL30" s="131"/>
      <c r="IM30" s="131"/>
      <c r="IN30" s="131"/>
      <c r="IO30" s="131"/>
      <c r="IP30" s="131"/>
      <c r="IQ30" s="131"/>
      <c r="IR30" s="131"/>
      <c r="IS30" s="131"/>
      <c r="IT30" s="131"/>
      <c r="IU30" s="131"/>
      <c r="IV30" s="131"/>
    </row>
    <row r="31" spans="1:256" ht="15.75" customHeight="1" x14ac:dyDescent="0.2">
      <c r="A31" s="127" t="s">
        <v>78</v>
      </c>
      <c r="B31" s="128">
        <f>B30+21.69</f>
        <v>477.12</v>
      </c>
      <c r="C31" s="128">
        <f t="shared" si="15"/>
        <v>1200.04</v>
      </c>
      <c r="D31" s="129">
        <f t="shared" si="10"/>
        <v>587.61999999999989</v>
      </c>
      <c r="E31" s="129">
        <f t="shared" si="0"/>
        <v>1477.9499999999998</v>
      </c>
      <c r="F31" s="128">
        <f t="shared" si="11"/>
        <v>642.62</v>
      </c>
      <c r="G31" s="128">
        <f t="shared" si="1"/>
        <v>1616.29</v>
      </c>
      <c r="H31" s="129">
        <f t="shared" si="12"/>
        <v>698.71999999999991</v>
      </c>
      <c r="I31" s="129">
        <f t="shared" si="2"/>
        <v>1757.3899999999999</v>
      </c>
      <c r="J31" s="128">
        <f t="shared" si="13"/>
        <v>786.28000000000009</v>
      </c>
      <c r="K31" s="128">
        <f t="shared" si="3"/>
        <v>1977.6100000000001</v>
      </c>
      <c r="L31" s="129">
        <f>L30+40.63</f>
        <v>893.81</v>
      </c>
      <c r="M31" s="129">
        <f t="shared" si="4"/>
        <v>2248.06</v>
      </c>
      <c r="N31" s="128">
        <f t="shared" si="14"/>
        <v>1059.7399999999998</v>
      </c>
      <c r="O31" s="128">
        <f t="shared" si="5"/>
        <v>2665.41</v>
      </c>
      <c r="P31" s="130">
        <f>P30+50.1</f>
        <v>1102.1400000000001</v>
      </c>
      <c r="Q31" s="129">
        <f t="shared" si="6"/>
        <v>2772.0600000000004</v>
      </c>
      <c r="R31" s="128">
        <f>R30+52.98</f>
        <v>1165.5000000000002</v>
      </c>
      <c r="S31" s="128">
        <f t="shared" si="7"/>
        <v>2931.42</v>
      </c>
      <c r="T31" s="129">
        <f>T30+57.79</f>
        <v>1271.4899999999996</v>
      </c>
      <c r="U31" s="129">
        <f t="shared" si="8"/>
        <v>3197.99</v>
      </c>
      <c r="V31" s="128">
        <f>V30+70.92</f>
        <v>1560.1800000000003</v>
      </c>
      <c r="W31" s="128">
        <f t="shared" si="9"/>
        <v>3924.1000000000004</v>
      </c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  <c r="GH31" s="131"/>
      <c r="GI31" s="131"/>
      <c r="GJ31" s="131"/>
      <c r="GK31" s="131"/>
      <c r="GL31" s="131"/>
      <c r="GM31" s="131"/>
      <c r="GN31" s="131"/>
      <c r="GO31" s="131"/>
      <c r="GP31" s="131"/>
      <c r="GQ31" s="131"/>
      <c r="GR31" s="131"/>
      <c r="GS31" s="131"/>
      <c r="GT31" s="131"/>
      <c r="GU31" s="131"/>
      <c r="GV31" s="131"/>
      <c r="GW31" s="131"/>
      <c r="GX31" s="131"/>
      <c r="GY31" s="131"/>
      <c r="GZ31" s="131"/>
      <c r="HA31" s="131"/>
      <c r="HB31" s="131"/>
      <c r="HC31" s="131"/>
      <c r="HD31" s="131"/>
      <c r="HE31" s="131"/>
      <c r="HF31" s="131"/>
      <c r="HG31" s="131"/>
      <c r="HH31" s="131"/>
      <c r="HI31" s="131"/>
      <c r="HJ31" s="131"/>
      <c r="HK31" s="131"/>
      <c r="HL31" s="131"/>
      <c r="HM31" s="131"/>
      <c r="HN31" s="131"/>
      <c r="HO31" s="131"/>
      <c r="HP31" s="131"/>
      <c r="HQ31" s="131"/>
      <c r="HR31" s="131"/>
      <c r="HS31" s="131"/>
      <c r="HT31" s="131"/>
      <c r="HU31" s="131"/>
      <c r="HV31" s="131"/>
      <c r="HW31" s="131"/>
      <c r="HX31" s="131"/>
      <c r="HY31" s="131"/>
      <c r="HZ31" s="131"/>
      <c r="IA31" s="131"/>
      <c r="IB31" s="131"/>
      <c r="IC31" s="131"/>
      <c r="ID31" s="131"/>
      <c r="IE31" s="131"/>
      <c r="IF31" s="131"/>
      <c r="IG31" s="131"/>
      <c r="IH31" s="131"/>
      <c r="II31" s="131"/>
      <c r="IJ31" s="131"/>
      <c r="IK31" s="131"/>
      <c r="IL31" s="131"/>
      <c r="IM31" s="131"/>
      <c r="IN31" s="131"/>
      <c r="IO31" s="131"/>
      <c r="IP31" s="131"/>
      <c r="IQ31" s="131"/>
      <c r="IR31" s="131"/>
      <c r="IS31" s="131"/>
      <c r="IT31" s="131"/>
      <c r="IU31" s="131"/>
      <c r="IV31" s="131"/>
    </row>
    <row r="32" spans="1:256" ht="15.75" customHeight="1" x14ac:dyDescent="0.2">
      <c r="A32" s="127" t="s">
        <v>79</v>
      </c>
      <c r="B32" s="128">
        <f>B31+21.69</f>
        <v>498.81</v>
      </c>
      <c r="C32" s="128">
        <f t="shared" si="15"/>
        <v>1221.73</v>
      </c>
      <c r="D32" s="129">
        <f t="shared" si="10"/>
        <v>614.32999999999993</v>
      </c>
      <c r="E32" s="129">
        <f t="shared" si="0"/>
        <v>1504.6599999999999</v>
      </c>
      <c r="F32" s="128">
        <f t="shared" si="11"/>
        <v>671.83</v>
      </c>
      <c r="G32" s="128">
        <f t="shared" si="1"/>
        <v>1645.5</v>
      </c>
      <c r="H32" s="129">
        <f t="shared" si="12"/>
        <v>730.4799999999999</v>
      </c>
      <c r="I32" s="129">
        <f t="shared" si="2"/>
        <v>1789.15</v>
      </c>
      <c r="J32" s="128">
        <f t="shared" si="13"/>
        <v>822.0200000000001</v>
      </c>
      <c r="K32" s="128">
        <f t="shared" si="3"/>
        <v>2013.35</v>
      </c>
      <c r="L32" s="129">
        <f>L31+40.62</f>
        <v>934.43</v>
      </c>
      <c r="M32" s="129">
        <f t="shared" si="4"/>
        <v>2288.6799999999998</v>
      </c>
      <c r="N32" s="128">
        <f t="shared" si="14"/>
        <v>1107.9099999999999</v>
      </c>
      <c r="O32" s="128">
        <f t="shared" si="5"/>
        <v>2713.58</v>
      </c>
      <c r="P32" s="130">
        <f>P31+50.1</f>
        <v>1152.24</v>
      </c>
      <c r="Q32" s="129">
        <f t="shared" si="6"/>
        <v>2822.16</v>
      </c>
      <c r="R32" s="128">
        <f>R31+52.98</f>
        <v>1218.4800000000002</v>
      </c>
      <c r="S32" s="128">
        <f t="shared" si="7"/>
        <v>2984.4000000000005</v>
      </c>
      <c r="T32" s="129">
        <f>T31+57.8</f>
        <v>1329.2899999999995</v>
      </c>
      <c r="U32" s="129">
        <f t="shared" si="8"/>
        <v>3255.7899999999995</v>
      </c>
      <c r="V32" s="128">
        <f>V31+70.92</f>
        <v>1631.1000000000004</v>
      </c>
      <c r="W32" s="128">
        <f t="shared" si="9"/>
        <v>3995.0200000000004</v>
      </c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31"/>
      <c r="FY32" s="131"/>
      <c r="FZ32" s="131"/>
      <c r="GA32" s="131"/>
      <c r="GB32" s="131"/>
      <c r="GC32" s="131"/>
      <c r="GD32" s="131"/>
      <c r="GE32" s="131"/>
      <c r="GF32" s="131"/>
      <c r="GG32" s="131"/>
      <c r="GH32" s="131"/>
      <c r="GI32" s="131"/>
      <c r="GJ32" s="131"/>
      <c r="GK32" s="131"/>
      <c r="GL32" s="131"/>
      <c r="GM32" s="131"/>
      <c r="GN32" s="131"/>
      <c r="GO32" s="131"/>
      <c r="GP32" s="131"/>
      <c r="GQ32" s="131"/>
      <c r="GR32" s="131"/>
      <c r="GS32" s="131"/>
      <c r="GT32" s="131"/>
      <c r="GU32" s="131"/>
      <c r="GV32" s="131"/>
      <c r="GW32" s="131"/>
      <c r="GX32" s="131"/>
      <c r="GY32" s="131"/>
      <c r="GZ32" s="131"/>
      <c r="HA32" s="131"/>
      <c r="HB32" s="131"/>
      <c r="HC32" s="131"/>
      <c r="HD32" s="131"/>
      <c r="HE32" s="131"/>
      <c r="HF32" s="131"/>
      <c r="HG32" s="131"/>
      <c r="HH32" s="131"/>
      <c r="HI32" s="131"/>
      <c r="HJ32" s="131"/>
      <c r="HK32" s="131"/>
      <c r="HL32" s="131"/>
      <c r="HM32" s="131"/>
      <c r="HN32" s="131"/>
      <c r="HO32" s="131"/>
      <c r="HP32" s="131"/>
      <c r="HQ32" s="131"/>
      <c r="HR32" s="131"/>
      <c r="HS32" s="131"/>
      <c r="HT32" s="131"/>
      <c r="HU32" s="131"/>
      <c r="HV32" s="131"/>
      <c r="HW32" s="131"/>
      <c r="HX32" s="131"/>
      <c r="HY32" s="131"/>
      <c r="HZ32" s="131"/>
      <c r="IA32" s="131"/>
      <c r="IB32" s="131"/>
      <c r="IC32" s="131"/>
      <c r="ID32" s="131"/>
      <c r="IE32" s="131"/>
      <c r="IF32" s="131"/>
      <c r="IG32" s="131"/>
      <c r="IH32" s="131"/>
      <c r="II32" s="131"/>
      <c r="IJ32" s="131"/>
      <c r="IK32" s="131"/>
      <c r="IL32" s="131"/>
      <c r="IM32" s="131"/>
      <c r="IN32" s="131"/>
      <c r="IO32" s="131"/>
      <c r="IP32" s="131"/>
      <c r="IQ32" s="131"/>
      <c r="IR32" s="131"/>
      <c r="IS32" s="131"/>
      <c r="IT32" s="131"/>
      <c r="IU32" s="131"/>
      <c r="IV32" s="131"/>
    </row>
    <row r="33" spans="1:256" ht="15.75" customHeight="1" x14ac:dyDescent="0.2">
      <c r="A33" s="127" t="s">
        <v>80</v>
      </c>
      <c r="B33" s="128">
        <f>B32+21.69</f>
        <v>520.5</v>
      </c>
      <c r="C33" s="128">
        <f t="shared" si="15"/>
        <v>1243.42</v>
      </c>
      <c r="D33" s="129">
        <f t="shared" si="10"/>
        <v>641.04</v>
      </c>
      <c r="E33" s="129">
        <f t="shared" si="0"/>
        <v>1531.37</v>
      </c>
      <c r="F33" s="128">
        <f t="shared" si="11"/>
        <v>701.04000000000008</v>
      </c>
      <c r="G33" s="128">
        <f t="shared" si="1"/>
        <v>1674.71</v>
      </c>
      <c r="H33" s="129">
        <f t="shared" si="12"/>
        <v>762.2399999999999</v>
      </c>
      <c r="I33" s="129">
        <f t="shared" si="2"/>
        <v>1820.9099999999999</v>
      </c>
      <c r="J33" s="128">
        <f t="shared" si="13"/>
        <v>857.7600000000001</v>
      </c>
      <c r="K33" s="128">
        <f t="shared" si="3"/>
        <v>2049.09</v>
      </c>
      <c r="L33" s="129">
        <f>L32+40.63</f>
        <v>975.06</v>
      </c>
      <c r="M33" s="129">
        <f t="shared" si="4"/>
        <v>2329.31</v>
      </c>
      <c r="N33" s="128">
        <f t="shared" si="14"/>
        <v>1156.08</v>
      </c>
      <c r="O33" s="128">
        <f t="shared" si="5"/>
        <v>2761.75</v>
      </c>
      <c r="P33" s="130">
        <f>P32+50.1</f>
        <v>1202.3399999999999</v>
      </c>
      <c r="Q33" s="129">
        <f t="shared" si="6"/>
        <v>2872.26</v>
      </c>
      <c r="R33" s="128">
        <f>R32+52.98</f>
        <v>1271.4600000000003</v>
      </c>
      <c r="S33" s="128">
        <f t="shared" si="7"/>
        <v>3037.38</v>
      </c>
      <c r="T33" s="129">
        <f>T32+57.79</f>
        <v>1387.0799999999995</v>
      </c>
      <c r="U33" s="129">
        <f t="shared" si="8"/>
        <v>3313.5799999999995</v>
      </c>
      <c r="V33" s="128">
        <f>V32+70.92</f>
        <v>1702.0200000000004</v>
      </c>
      <c r="W33" s="128">
        <f t="shared" si="9"/>
        <v>4065.9400000000005</v>
      </c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1"/>
      <c r="GM33" s="131"/>
      <c r="GN33" s="131"/>
      <c r="GO33" s="131"/>
      <c r="GP33" s="131"/>
      <c r="GQ33" s="131"/>
      <c r="GR33" s="131"/>
      <c r="GS33" s="131"/>
      <c r="GT33" s="131"/>
      <c r="GU33" s="131"/>
      <c r="GV33" s="131"/>
      <c r="GW33" s="131"/>
      <c r="GX33" s="131"/>
      <c r="GY33" s="131"/>
      <c r="GZ33" s="131"/>
      <c r="HA33" s="131"/>
      <c r="HB33" s="131"/>
      <c r="HC33" s="131"/>
      <c r="HD33" s="131"/>
      <c r="HE33" s="131"/>
      <c r="HF33" s="131"/>
      <c r="HG33" s="131"/>
      <c r="HH33" s="131"/>
      <c r="HI33" s="131"/>
      <c r="HJ33" s="131"/>
      <c r="HK33" s="131"/>
      <c r="HL33" s="131"/>
      <c r="HM33" s="131"/>
      <c r="HN33" s="131"/>
      <c r="HO33" s="131"/>
      <c r="HP33" s="131"/>
      <c r="HQ33" s="131"/>
      <c r="HR33" s="131"/>
      <c r="HS33" s="131"/>
      <c r="HT33" s="131"/>
      <c r="HU33" s="131"/>
      <c r="HV33" s="131"/>
      <c r="HW33" s="131"/>
      <c r="HX33" s="131"/>
      <c r="HY33" s="131"/>
      <c r="HZ33" s="131"/>
      <c r="IA33" s="131"/>
      <c r="IB33" s="131"/>
      <c r="IC33" s="131"/>
      <c r="ID33" s="131"/>
      <c r="IE33" s="131"/>
      <c r="IF33" s="131"/>
      <c r="IG33" s="131"/>
      <c r="IH33" s="131"/>
      <c r="II33" s="131"/>
      <c r="IJ33" s="131"/>
      <c r="IK33" s="131"/>
      <c r="IL33" s="131"/>
      <c r="IM33" s="131"/>
      <c r="IN33" s="131"/>
      <c r="IO33" s="131"/>
      <c r="IP33" s="131"/>
      <c r="IQ33" s="131"/>
      <c r="IR33" s="131"/>
      <c r="IS33" s="131"/>
      <c r="IT33" s="131"/>
      <c r="IU33" s="131"/>
      <c r="IV33" s="131"/>
    </row>
    <row r="34" spans="1:256" ht="15.75" customHeight="1" x14ac:dyDescent="0.2">
      <c r="A34" s="127" t="s">
        <v>81</v>
      </c>
      <c r="B34" s="128">
        <f>B33+21.68</f>
        <v>542.17999999999995</v>
      </c>
      <c r="C34" s="128">
        <f t="shared" si="15"/>
        <v>1265.0999999999999</v>
      </c>
      <c r="D34" s="129">
        <f t="shared" si="10"/>
        <v>667.75</v>
      </c>
      <c r="E34" s="129">
        <f t="shared" si="0"/>
        <v>1558.08</v>
      </c>
      <c r="F34" s="128">
        <f t="shared" si="11"/>
        <v>730.25000000000011</v>
      </c>
      <c r="G34" s="128">
        <f t="shared" si="1"/>
        <v>1703.92</v>
      </c>
      <c r="H34" s="129">
        <f t="shared" si="12"/>
        <v>793.99999999999989</v>
      </c>
      <c r="I34" s="129">
        <f t="shared" si="2"/>
        <v>1852.67</v>
      </c>
      <c r="J34" s="128">
        <f t="shared" si="13"/>
        <v>893.50000000000011</v>
      </c>
      <c r="K34" s="128">
        <f t="shared" si="3"/>
        <v>2084.83</v>
      </c>
      <c r="L34" s="129">
        <f>L33+40.63</f>
        <v>1015.6899999999999</v>
      </c>
      <c r="M34" s="129">
        <f t="shared" si="4"/>
        <v>2369.94</v>
      </c>
      <c r="N34" s="128">
        <f t="shared" si="14"/>
        <v>1204.25</v>
      </c>
      <c r="O34" s="128">
        <f t="shared" si="5"/>
        <v>2809.92</v>
      </c>
      <c r="P34" s="130">
        <f>P33+50.09</f>
        <v>1252.4299999999998</v>
      </c>
      <c r="Q34" s="129">
        <f t="shared" si="6"/>
        <v>2922.35</v>
      </c>
      <c r="R34" s="128">
        <f>R33+52.97</f>
        <v>1324.4300000000003</v>
      </c>
      <c r="S34" s="128">
        <f t="shared" si="7"/>
        <v>3090.3500000000004</v>
      </c>
      <c r="T34" s="129">
        <f>T33+57.8</f>
        <v>1444.8799999999994</v>
      </c>
      <c r="U34" s="129">
        <f t="shared" si="8"/>
        <v>3371.3799999999992</v>
      </c>
      <c r="V34" s="128">
        <f>V33+70.91</f>
        <v>1772.9300000000005</v>
      </c>
      <c r="W34" s="128">
        <f t="shared" si="9"/>
        <v>4136.8500000000004</v>
      </c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1"/>
      <c r="IP34" s="131"/>
      <c r="IQ34" s="131"/>
      <c r="IR34" s="131"/>
      <c r="IS34" s="131"/>
      <c r="IT34" s="131"/>
      <c r="IU34" s="131"/>
      <c r="IV34" s="131"/>
    </row>
  </sheetData>
  <pageMargins left="0" right="0" top="0.78749999999999998" bottom="0.196527777777778" header="0.39374999999999999" footer="0.51180555555555496"/>
  <pageSetup paperSize="0" scale="0" firstPageNumber="0" orientation="portrait" usePrinterDefaults="0" horizontalDpi="0" verticalDpi="0" copies="0"/>
  <headerFooter>
    <oddHeader>&amp;C&amp;"Comic Sans MS,Fett"&amp;12Gehaltstabellen ab  01.07.2007 / Tabelle stipendiali dal 01.07.2007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zoomScaleNormal="100" workbookViewId="0">
      <selection activeCell="U34" sqref="U34"/>
    </sheetView>
  </sheetViews>
  <sheetFormatPr baseColWidth="10" defaultColWidth="9.140625" defaultRowHeight="12.75" x14ac:dyDescent="0.2"/>
  <cols>
    <col min="1" max="1" width="24.85546875"/>
    <col min="2" max="2" width="0" hidden="1"/>
    <col min="4" max="4" width="0" hidden="1"/>
    <col min="6" max="6" width="0" hidden="1"/>
    <col min="8" max="8" width="0" hidden="1"/>
    <col min="10" max="10" width="0" hidden="1"/>
    <col min="12" max="12" width="0" hidden="1"/>
    <col min="14" max="14" width="0" hidden="1"/>
    <col min="16" max="16" width="0" hidden="1"/>
    <col min="18" max="18" width="0" hidden="1"/>
    <col min="20" max="20" width="0" hidden="1"/>
    <col min="22" max="256" width="11.28515625"/>
    <col min="257" max="1025" width="11.5703125"/>
  </cols>
  <sheetData>
    <row r="1" spans="1:256" ht="15.75" customHeight="1" x14ac:dyDescent="0.2">
      <c r="A1" s="111"/>
      <c r="B1" s="112" t="s">
        <v>44</v>
      </c>
      <c r="C1" s="112" t="s">
        <v>44</v>
      </c>
      <c r="D1" s="113" t="s">
        <v>45</v>
      </c>
      <c r="E1" s="113" t="s">
        <v>45</v>
      </c>
      <c r="F1" s="112" t="s">
        <v>46</v>
      </c>
      <c r="G1" s="112" t="s">
        <v>46</v>
      </c>
      <c r="H1" s="113" t="s">
        <v>47</v>
      </c>
      <c r="I1" s="113" t="s">
        <v>47</v>
      </c>
      <c r="J1" s="112" t="s">
        <v>48</v>
      </c>
      <c r="K1" s="112" t="s">
        <v>48</v>
      </c>
      <c r="L1" s="113" t="s">
        <v>49</v>
      </c>
      <c r="M1" s="113" t="s">
        <v>49</v>
      </c>
      <c r="N1" s="112" t="s">
        <v>50</v>
      </c>
      <c r="O1" s="112" t="s">
        <v>50</v>
      </c>
      <c r="P1" s="114" t="s">
        <v>87</v>
      </c>
      <c r="Q1" s="113" t="s">
        <v>87</v>
      </c>
      <c r="R1" s="113" t="s">
        <v>51</v>
      </c>
      <c r="S1" s="113" t="s">
        <v>51</v>
      </c>
      <c r="T1" s="112" t="s">
        <v>52</v>
      </c>
      <c r="U1" s="112" t="s">
        <v>52</v>
      </c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  <c r="IU1" s="115"/>
      <c r="IV1" s="115"/>
    </row>
    <row r="2" spans="1:256" ht="15.75" customHeight="1" x14ac:dyDescent="0.25">
      <c r="A2" s="116" t="s">
        <v>10</v>
      </c>
      <c r="B2" s="117"/>
      <c r="C2" s="118"/>
      <c r="D2" s="119"/>
      <c r="E2" s="120"/>
      <c r="F2" s="117"/>
      <c r="G2" s="118"/>
      <c r="H2" s="119"/>
      <c r="I2" s="120"/>
      <c r="J2" s="117"/>
      <c r="K2" s="118"/>
      <c r="L2" s="119"/>
      <c r="M2" s="120"/>
      <c r="N2" s="117"/>
      <c r="O2" s="118"/>
      <c r="P2" s="118"/>
      <c r="Q2" s="120"/>
      <c r="R2" s="119"/>
      <c r="S2" s="119"/>
      <c r="T2" s="117"/>
      <c r="U2" s="117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  <c r="IT2" s="121"/>
      <c r="IU2" s="121"/>
      <c r="IV2" s="121"/>
    </row>
    <row r="3" spans="1:256" ht="15.75" customHeight="1" x14ac:dyDescent="0.25">
      <c r="A3" s="122" t="s">
        <v>11</v>
      </c>
      <c r="B3" s="123">
        <v>598.58000000000004</v>
      </c>
      <c r="C3" s="123">
        <f>B3</f>
        <v>598.58000000000004</v>
      </c>
      <c r="D3" s="124">
        <v>721.76</v>
      </c>
      <c r="E3" s="124">
        <f>D3</f>
        <v>721.76</v>
      </c>
      <c r="F3" s="123">
        <v>784.3</v>
      </c>
      <c r="G3" s="123">
        <f>F3</f>
        <v>784.3</v>
      </c>
      <c r="H3" s="124">
        <v>846.84</v>
      </c>
      <c r="I3" s="124">
        <f>H3</f>
        <v>846.84</v>
      </c>
      <c r="J3" s="123">
        <v>953.06</v>
      </c>
      <c r="K3" s="123">
        <f>J3</f>
        <v>953.06</v>
      </c>
      <c r="L3" s="124">
        <v>1063.5999999999999</v>
      </c>
      <c r="M3" s="124">
        <f>L3</f>
        <v>1063.5999999999999</v>
      </c>
      <c r="N3" s="123">
        <v>1261.3399999999999</v>
      </c>
      <c r="O3" s="123">
        <f>N3</f>
        <v>1261.3399999999999</v>
      </c>
      <c r="P3" s="125">
        <v>1324.4</v>
      </c>
      <c r="Q3" s="124">
        <f>P3</f>
        <v>1324.4</v>
      </c>
      <c r="R3" s="124">
        <v>1540.65</v>
      </c>
      <c r="S3" s="124">
        <f>R3</f>
        <v>1540.65</v>
      </c>
      <c r="T3" s="123">
        <v>1840.81</v>
      </c>
      <c r="U3" s="123">
        <f>T3</f>
        <v>1840.81</v>
      </c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  <c r="IR3" s="126"/>
      <c r="IS3" s="126"/>
      <c r="IT3" s="126"/>
      <c r="IU3" s="126"/>
      <c r="IV3" s="126"/>
    </row>
    <row r="4" spans="1:256" ht="15.75" customHeight="1" x14ac:dyDescent="0.2">
      <c r="A4" s="127" t="s">
        <v>53</v>
      </c>
      <c r="B4" s="128">
        <v>35.92</v>
      </c>
      <c r="C4" s="128">
        <f>$C$3+B4</f>
        <v>634.5</v>
      </c>
      <c r="D4" s="129">
        <v>43.3</v>
      </c>
      <c r="E4" s="129">
        <f>$E$3+D4</f>
        <v>765.06</v>
      </c>
      <c r="F4" s="128">
        <v>47.05</v>
      </c>
      <c r="G4" s="128">
        <f>$G$3+F4</f>
        <v>831.34999999999991</v>
      </c>
      <c r="H4" s="129">
        <v>50.81</v>
      </c>
      <c r="I4" s="129">
        <f>$I$3+H4</f>
        <v>897.65000000000009</v>
      </c>
      <c r="J4" s="128">
        <v>57.18</v>
      </c>
      <c r="K4" s="128">
        <f>$K$3+J4</f>
        <v>1010.2399999999999</v>
      </c>
      <c r="L4" s="129">
        <v>63.82</v>
      </c>
      <c r="M4" s="129">
        <f>$M$3+L4</f>
        <v>1127.4199999999998</v>
      </c>
      <c r="N4" s="128">
        <v>75.680000000000007</v>
      </c>
      <c r="O4" s="128">
        <f>$O$3+N4</f>
        <v>1337.02</v>
      </c>
      <c r="P4" s="130">
        <v>79.47</v>
      </c>
      <c r="Q4" s="129">
        <f>$Q$3+P4</f>
        <v>1403.8700000000001</v>
      </c>
      <c r="R4" s="129">
        <v>92.44</v>
      </c>
      <c r="S4" s="129">
        <f>$S$3+R4</f>
        <v>1633.0900000000001</v>
      </c>
      <c r="T4" s="128">
        <v>110.45</v>
      </c>
      <c r="U4" s="128">
        <f>$U$3+T4</f>
        <v>1951.26</v>
      </c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</row>
    <row r="5" spans="1:256" ht="15.75" customHeight="1" x14ac:dyDescent="0.2">
      <c r="A5" s="127" t="s">
        <v>54</v>
      </c>
      <c r="B5" s="128">
        <f>35.91+35.92</f>
        <v>71.83</v>
      </c>
      <c r="C5" s="128">
        <f>$C$3+B5</f>
        <v>670.41000000000008</v>
      </c>
      <c r="D5" s="129">
        <f>D4+$D$4+0.01</f>
        <v>86.61</v>
      </c>
      <c r="E5" s="129">
        <f>$E$3+D5</f>
        <v>808.37</v>
      </c>
      <c r="F5" s="128">
        <f>F4+F4+0.01</f>
        <v>94.11</v>
      </c>
      <c r="G5" s="128">
        <f>$G$3+F5</f>
        <v>878.41</v>
      </c>
      <c r="H5" s="129">
        <f>$H$4+H4</f>
        <v>101.62</v>
      </c>
      <c r="I5" s="129">
        <f>$I$3+H5</f>
        <v>948.46</v>
      </c>
      <c r="J5" s="128">
        <f>$J$4+J4</f>
        <v>114.36</v>
      </c>
      <c r="K5" s="128">
        <f>$K$3+J5</f>
        <v>1067.4199999999998</v>
      </c>
      <c r="L5" s="129">
        <f>$L$4+L4</f>
        <v>127.64</v>
      </c>
      <c r="M5" s="129">
        <f>$M$3+L5</f>
        <v>1191.24</v>
      </c>
      <c r="N5" s="128">
        <f>$N$4+N4</f>
        <v>151.36000000000001</v>
      </c>
      <c r="O5" s="128">
        <f>$O$3+N5</f>
        <v>1412.6999999999998</v>
      </c>
      <c r="P5" s="130">
        <f>$P$4+79.47</f>
        <v>158.94</v>
      </c>
      <c r="Q5" s="129">
        <f>$Q$3+P5-0.01</f>
        <v>1483.3300000000002</v>
      </c>
      <c r="R5" s="129">
        <f>$R$4+R4</f>
        <v>184.88</v>
      </c>
      <c r="S5" s="129">
        <f>$S$3+R5</f>
        <v>1725.5300000000002</v>
      </c>
      <c r="T5" s="128">
        <f>$T$4+T4-0.01</f>
        <v>220.89000000000001</v>
      </c>
      <c r="U5" s="128">
        <f>$U$3+T5</f>
        <v>2061.6999999999998</v>
      </c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  <c r="IO5" s="131"/>
      <c r="IP5" s="131"/>
      <c r="IQ5" s="131"/>
      <c r="IR5" s="131"/>
      <c r="IS5" s="131"/>
      <c r="IT5" s="131"/>
      <c r="IU5" s="131"/>
      <c r="IV5" s="131"/>
    </row>
    <row r="6" spans="1:256" ht="15.75" customHeight="1" x14ac:dyDescent="0.2">
      <c r="A6" s="127" t="s">
        <v>55</v>
      </c>
      <c r="B6" s="128">
        <f>35.91+35.91+35.91+0.01</f>
        <v>107.74</v>
      </c>
      <c r="C6" s="128">
        <f>$C$3+B6</f>
        <v>706.32</v>
      </c>
      <c r="D6" s="129">
        <f>D5+$D$4</f>
        <v>129.91</v>
      </c>
      <c r="E6" s="129">
        <f>$E$3+D6</f>
        <v>851.67</v>
      </c>
      <c r="F6" s="128">
        <f>F5+F4+0.01</f>
        <v>141.16999999999999</v>
      </c>
      <c r="G6" s="128">
        <f>$G$3+F6</f>
        <v>925.46999999999991</v>
      </c>
      <c r="H6" s="129">
        <f>$H$4+H5</f>
        <v>152.43</v>
      </c>
      <c r="I6" s="129">
        <f>$I$3+H6</f>
        <v>999.27</v>
      </c>
      <c r="J6" s="128">
        <f>$J$4+J5+0.01</f>
        <v>171.54999999999998</v>
      </c>
      <c r="K6" s="128">
        <f>$K$3+J6</f>
        <v>1124.6099999999999</v>
      </c>
      <c r="L6" s="129">
        <f>$L$4+L5-0.01</f>
        <v>191.45000000000002</v>
      </c>
      <c r="M6" s="129">
        <f>$M$3+L6</f>
        <v>1255.05</v>
      </c>
      <c r="N6" s="128">
        <f>$N$4+N5+0.01</f>
        <v>227.05</v>
      </c>
      <c r="O6" s="128">
        <f>$O$3+N6</f>
        <v>1488.3899999999999</v>
      </c>
      <c r="P6" s="130">
        <f>$P$4+P5-0.02</f>
        <v>238.39</v>
      </c>
      <c r="Q6" s="129">
        <f>$Q$3+P6</f>
        <v>1562.79</v>
      </c>
      <c r="R6" s="129">
        <f>$R$4+R5</f>
        <v>277.32</v>
      </c>
      <c r="S6" s="129">
        <f>$S$3+R6</f>
        <v>1817.97</v>
      </c>
      <c r="T6" s="128">
        <f>$T$4+T5</f>
        <v>331.34000000000003</v>
      </c>
      <c r="U6" s="128">
        <f>$U$3+T6</f>
        <v>2172.15</v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  <c r="IK6" s="131"/>
      <c r="IL6" s="131"/>
      <c r="IM6" s="131"/>
      <c r="IN6" s="131"/>
      <c r="IO6" s="131"/>
      <c r="IP6" s="131"/>
      <c r="IQ6" s="131"/>
      <c r="IR6" s="131"/>
      <c r="IS6" s="131"/>
      <c r="IT6" s="131"/>
      <c r="IU6" s="131"/>
      <c r="IV6" s="131"/>
    </row>
    <row r="7" spans="1:256" ht="15.75" customHeight="1" x14ac:dyDescent="0.2">
      <c r="A7" s="132"/>
      <c r="B7" s="133"/>
      <c r="C7" s="133"/>
      <c r="D7" s="134"/>
      <c r="E7" s="134"/>
      <c r="F7" s="133"/>
      <c r="G7" s="133"/>
      <c r="H7" s="134"/>
      <c r="I7" s="134"/>
      <c r="J7" s="133"/>
      <c r="K7" s="133"/>
      <c r="L7" s="134"/>
      <c r="M7" s="134"/>
      <c r="N7" s="133"/>
      <c r="O7" s="133"/>
      <c r="P7" s="135"/>
      <c r="Q7" s="134"/>
      <c r="R7" s="134"/>
      <c r="S7" s="134"/>
      <c r="T7" s="133"/>
      <c r="U7" s="133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1"/>
    </row>
    <row r="8" spans="1:256" ht="15.75" customHeight="1" x14ac:dyDescent="0.2">
      <c r="A8" s="136" t="s">
        <v>56</v>
      </c>
      <c r="B8" s="137"/>
      <c r="C8" s="137"/>
      <c r="D8" s="138"/>
      <c r="E8" s="138"/>
      <c r="F8" s="137"/>
      <c r="G8" s="137"/>
      <c r="H8" s="138"/>
      <c r="I8" s="138"/>
      <c r="J8" s="137"/>
      <c r="K8" s="137"/>
      <c r="L8" s="138"/>
      <c r="M8" s="138"/>
      <c r="N8" s="137"/>
      <c r="O8" s="137"/>
      <c r="P8" s="139"/>
      <c r="Q8" s="138"/>
      <c r="R8" s="138"/>
      <c r="S8" s="138"/>
      <c r="T8" s="137"/>
      <c r="U8" s="137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  <c r="IV8" s="121"/>
    </row>
    <row r="9" spans="1:256" ht="15.75" customHeight="1" x14ac:dyDescent="0.25">
      <c r="A9" s="122" t="s">
        <v>11</v>
      </c>
      <c r="B9" s="123">
        <v>750.39</v>
      </c>
      <c r="C9" s="123">
        <f>B9</f>
        <v>750.39</v>
      </c>
      <c r="D9" s="124">
        <v>924.17</v>
      </c>
      <c r="E9" s="124">
        <f>D9</f>
        <v>924.17</v>
      </c>
      <c r="F9" s="123">
        <v>1010.67</v>
      </c>
      <c r="G9" s="123">
        <f>F9</f>
        <v>1010.67</v>
      </c>
      <c r="H9" s="124">
        <v>1098.9000000000001</v>
      </c>
      <c r="I9" s="124">
        <v>1098.9000000000001</v>
      </c>
      <c r="J9" s="123">
        <v>1236.5999999999999</v>
      </c>
      <c r="K9" s="123">
        <f>J9</f>
        <v>1236.5999999999999</v>
      </c>
      <c r="L9" s="124">
        <v>1405.71</v>
      </c>
      <c r="M9" s="124">
        <f>L9</f>
        <v>1405.71</v>
      </c>
      <c r="N9" s="123">
        <v>1666.68</v>
      </c>
      <c r="O9" s="123">
        <f>N9</f>
        <v>1666.68</v>
      </c>
      <c r="P9" s="125">
        <v>1733.37</v>
      </c>
      <c r="Q9" s="124">
        <f>P9</f>
        <v>1733.37</v>
      </c>
      <c r="R9" s="124">
        <v>1999.71</v>
      </c>
      <c r="S9" s="124">
        <f>R9</f>
        <v>1999.71</v>
      </c>
      <c r="T9" s="123">
        <v>2453.75</v>
      </c>
      <c r="U9" s="123">
        <f>T9</f>
        <v>2453.75</v>
      </c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</row>
    <row r="10" spans="1:256" ht="15.75" customHeight="1" x14ac:dyDescent="0.2">
      <c r="A10" s="127" t="s">
        <v>57</v>
      </c>
      <c r="B10" s="128">
        <v>22.51</v>
      </c>
      <c r="C10" s="128">
        <f>$C$9+B10</f>
        <v>772.9</v>
      </c>
      <c r="D10" s="129">
        <v>27.72</v>
      </c>
      <c r="E10" s="129">
        <f t="shared" ref="E10:E34" si="0">$E$9+D10</f>
        <v>951.89</v>
      </c>
      <c r="F10" s="128">
        <v>30.32</v>
      </c>
      <c r="G10" s="128">
        <f t="shared" ref="G10:G34" si="1">$G$9+F10</f>
        <v>1040.99</v>
      </c>
      <c r="H10" s="129">
        <v>32.96</v>
      </c>
      <c r="I10" s="129">
        <f t="shared" ref="I10:I34" si="2">$I$9+H10</f>
        <v>1131.8600000000001</v>
      </c>
      <c r="J10" s="128">
        <v>37.1</v>
      </c>
      <c r="K10" s="128">
        <f t="shared" ref="K10:K34" si="3">$K$9+J10</f>
        <v>1273.6999999999998</v>
      </c>
      <c r="L10" s="129">
        <v>42.17</v>
      </c>
      <c r="M10" s="129">
        <f t="shared" ref="M10:M34" si="4">$M$9+L10</f>
        <v>1447.88</v>
      </c>
      <c r="N10" s="128">
        <v>50</v>
      </c>
      <c r="O10" s="128">
        <f t="shared" ref="O10:O34" si="5">$O$9+N10</f>
        <v>1716.68</v>
      </c>
      <c r="P10" s="130">
        <v>52</v>
      </c>
      <c r="Q10" s="129">
        <f t="shared" ref="Q10:Q34" si="6">$Q$9+P10</f>
        <v>1785.37</v>
      </c>
      <c r="R10" s="129">
        <v>59.99</v>
      </c>
      <c r="S10" s="129">
        <f t="shared" ref="S10:S34" si="7">$S$9+R10</f>
        <v>2059.6999999999998</v>
      </c>
      <c r="T10" s="128">
        <v>73.61</v>
      </c>
      <c r="U10" s="128">
        <f t="shared" ref="U10:U34" si="8">$U$9+T10</f>
        <v>2527.36</v>
      </c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</row>
    <row r="11" spans="1:256" ht="15.75" customHeight="1" x14ac:dyDescent="0.2">
      <c r="A11" s="127" t="s">
        <v>58</v>
      </c>
      <c r="B11" s="128">
        <f t="shared" ref="B11:B34" si="9">$B$10+B10</f>
        <v>45.02</v>
      </c>
      <c r="C11" s="128">
        <f>$C$9+B11</f>
        <v>795.41</v>
      </c>
      <c r="D11" s="129">
        <f>$D$10+D10+0.01</f>
        <v>55.449999999999996</v>
      </c>
      <c r="E11" s="129">
        <f t="shared" si="0"/>
        <v>979.62</v>
      </c>
      <c r="F11" s="128">
        <f t="shared" ref="F11:F34" si="10">$F$10+F10</f>
        <v>60.64</v>
      </c>
      <c r="G11" s="128">
        <f t="shared" si="1"/>
        <v>1071.31</v>
      </c>
      <c r="H11" s="129">
        <f>H10+32.96+0.01</f>
        <v>65.930000000000007</v>
      </c>
      <c r="I11" s="129">
        <f t="shared" si="2"/>
        <v>1164.8300000000002</v>
      </c>
      <c r="J11" s="128">
        <f>$J$10+J10</f>
        <v>74.2</v>
      </c>
      <c r="K11" s="128">
        <f t="shared" si="3"/>
        <v>1310.8</v>
      </c>
      <c r="L11" s="129">
        <f>$L$10+L10</f>
        <v>84.34</v>
      </c>
      <c r="M11" s="129">
        <f t="shared" si="4"/>
        <v>1490.05</v>
      </c>
      <c r="N11" s="128">
        <f>$N$10+N10</f>
        <v>100</v>
      </c>
      <c r="O11" s="128">
        <f t="shared" si="5"/>
        <v>1766.68</v>
      </c>
      <c r="P11" s="130">
        <f>$P$10+P10+0.01</f>
        <v>104.01</v>
      </c>
      <c r="Q11" s="129">
        <f t="shared" si="6"/>
        <v>1837.3799999999999</v>
      </c>
      <c r="R11" s="129">
        <f>$R$10+R10</f>
        <v>119.98</v>
      </c>
      <c r="S11" s="129">
        <f t="shared" si="7"/>
        <v>2119.69</v>
      </c>
      <c r="T11" s="128">
        <f>$T$10+T10</f>
        <v>147.22</v>
      </c>
      <c r="U11" s="128">
        <f t="shared" si="8"/>
        <v>2600.9699999999998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  <c r="IT11" s="131"/>
      <c r="IU11" s="131"/>
      <c r="IV11" s="131"/>
    </row>
    <row r="12" spans="1:256" ht="15.75" customHeight="1" x14ac:dyDescent="0.2">
      <c r="A12" s="127" t="s">
        <v>59</v>
      </c>
      <c r="B12" s="128">
        <f t="shared" si="9"/>
        <v>67.53</v>
      </c>
      <c r="C12" s="128">
        <f>$C$9+B12</f>
        <v>817.92</v>
      </c>
      <c r="D12" s="129">
        <f>$D$10+D11</f>
        <v>83.169999999999987</v>
      </c>
      <c r="E12" s="129">
        <f t="shared" si="0"/>
        <v>1007.3399999999999</v>
      </c>
      <c r="F12" s="128">
        <f t="shared" si="10"/>
        <v>90.960000000000008</v>
      </c>
      <c r="G12" s="128">
        <f t="shared" si="1"/>
        <v>1101.6299999999999</v>
      </c>
      <c r="H12" s="129">
        <f>H11+32.96+0.01</f>
        <v>98.90000000000002</v>
      </c>
      <c r="I12" s="129">
        <f t="shared" si="2"/>
        <v>1197.8000000000002</v>
      </c>
      <c r="J12" s="128">
        <f>$J$10+J11</f>
        <v>111.30000000000001</v>
      </c>
      <c r="K12" s="128">
        <f t="shared" si="3"/>
        <v>1347.8999999999999</v>
      </c>
      <c r="L12" s="129">
        <f>$L$10+L11+0.01</f>
        <v>126.52000000000001</v>
      </c>
      <c r="M12" s="129">
        <f t="shared" si="4"/>
        <v>1532.23</v>
      </c>
      <c r="N12" s="128">
        <f>$N$10+N11</f>
        <v>150</v>
      </c>
      <c r="O12" s="128">
        <f t="shared" si="5"/>
        <v>1816.68</v>
      </c>
      <c r="P12" s="130">
        <f t="shared" ref="P12:P18" si="11">$P$10+P11</f>
        <v>156.01</v>
      </c>
      <c r="Q12" s="129">
        <f t="shared" si="6"/>
        <v>1889.3799999999999</v>
      </c>
      <c r="R12" s="129">
        <f>$R$10+R11</f>
        <v>179.97</v>
      </c>
      <c r="S12" s="129">
        <f t="shared" si="7"/>
        <v>2179.6799999999998</v>
      </c>
      <c r="T12" s="128">
        <f>$T$10+T11</f>
        <v>220.82999999999998</v>
      </c>
      <c r="U12" s="128">
        <f t="shared" si="8"/>
        <v>2674.58</v>
      </c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</row>
    <row r="13" spans="1:256" ht="15.75" customHeight="1" x14ac:dyDescent="0.2">
      <c r="A13" s="127" t="s">
        <v>60</v>
      </c>
      <c r="B13" s="128">
        <f t="shared" si="9"/>
        <v>90.04</v>
      </c>
      <c r="C13" s="128">
        <f>$C$9+B13</f>
        <v>840.43</v>
      </c>
      <c r="D13" s="129">
        <f>$D$10+D12+0.01</f>
        <v>110.89999999999999</v>
      </c>
      <c r="E13" s="129">
        <f t="shared" si="0"/>
        <v>1035.07</v>
      </c>
      <c r="F13" s="128">
        <f t="shared" si="10"/>
        <v>121.28</v>
      </c>
      <c r="G13" s="128">
        <f t="shared" si="1"/>
        <v>1131.95</v>
      </c>
      <c r="H13" s="129">
        <f>H12+32.96</f>
        <v>131.86000000000001</v>
      </c>
      <c r="I13" s="129">
        <f t="shared" si="2"/>
        <v>1230.7600000000002</v>
      </c>
      <c r="J13" s="128">
        <f>$J$10+J12</f>
        <v>148.4</v>
      </c>
      <c r="K13" s="128">
        <f t="shared" si="3"/>
        <v>1385</v>
      </c>
      <c r="L13" s="129">
        <f t="shared" ref="L13:L18" si="12">$L$10+L12</f>
        <v>168.69</v>
      </c>
      <c r="M13" s="129">
        <f t="shared" si="4"/>
        <v>1574.4</v>
      </c>
      <c r="N13" s="128">
        <f>$N$10+N12</f>
        <v>200</v>
      </c>
      <c r="O13" s="128">
        <f t="shared" si="5"/>
        <v>1866.68</v>
      </c>
      <c r="P13" s="130">
        <f t="shared" si="11"/>
        <v>208.01</v>
      </c>
      <c r="Q13" s="129">
        <f t="shared" si="6"/>
        <v>1941.3799999999999</v>
      </c>
      <c r="R13" s="129">
        <f>$R$10+R12</f>
        <v>239.96</v>
      </c>
      <c r="S13" s="129">
        <f t="shared" si="7"/>
        <v>2239.67</v>
      </c>
      <c r="T13" s="128">
        <f>$T$10+T12+0.01</f>
        <v>294.45</v>
      </c>
      <c r="U13" s="128">
        <f t="shared" si="8"/>
        <v>2748.2</v>
      </c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</row>
    <row r="14" spans="1:256" ht="15.75" customHeight="1" x14ac:dyDescent="0.2">
      <c r="A14" s="127" t="s">
        <v>61</v>
      </c>
      <c r="B14" s="128">
        <f t="shared" si="9"/>
        <v>112.55000000000001</v>
      </c>
      <c r="C14" s="128">
        <f t="shared" ref="C14:C19" si="13">$C$9+B14+0.01</f>
        <v>862.95</v>
      </c>
      <c r="D14" s="129">
        <f>$D$10+D13</f>
        <v>138.62</v>
      </c>
      <c r="E14" s="129">
        <f t="shared" si="0"/>
        <v>1062.79</v>
      </c>
      <c r="F14" s="128">
        <f t="shared" si="10"/>
        <v>151.6</v>
      </c>
      <c r="G14" s="128">
        <f t="shared" si="1"/>
        <v>1162.27</v>
      </c>
      <c r="H14" s="129">
        <f>H13+32.96+0.01</f>
        <v>164.83</v>
      </c>
      <c r="I14" s="129">
        <f t="shared" si="2"/>
        <v>1263.73</v>
      </c>
      <c r="J14" s="128">
        <f>$J$10+J13</f>
        <v>185.5</v>
      </c>
      <c r="K14" s="128">
        <f t="shared" si="3"/>
        <v>1422.1</v>
      </c>
      <c r="L14" s="129">
        <f t="shared" si="12"/>
        <v>210.86</v>
      </c>
      <c r="M14" s="129">
        <f t="shared" si="4"/>
        <v>1616.5700000000002</v>
      </c>
      <c r="N14" s="128">
        <f>$N$10+N13</f>
        <v>250</v>
      </c>
      <c r="O14" s="128">
        <f t="shared" si="5"/>
        <v>1916.68</v>
      </c>
      <c r="P14" s="130">
        <f t="shared" si="11"/>
        <v>260.01</v>
      </c>
      <c r="Q14" s="129">
        <f t="shared" si="6"/>
        <v>1993.3799999999999</v>
      </c>
      <c r="R14" s="129">
        <f>$R$10+R13</f>
        <v>299.95</v>
      </c>
      <c r="S14" s="129">
        <f t="shared" si="7"/>
        <v>2299.66</v>
      </c>
      <c r="T14" s="128">
        <f>$T$10+T13</f>
        <v>368.06</v>
      </c>
      <c r="U14" s="128">
        <f t="shared" si="8"/>
        <v>2821.81</v>
      </c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</row>
    <row r="15" spans="1:256" ht="15.75" customHeight="1" x14ac:dyDescent="0.2">
      <c r="A15" s="127" t="s">
        <v>62</v>
      </c>
      <c r="B15" s="128">
        <f t="shared" si="9"/>
        <v>135.06</v>
      </c>
      <c r="C15" s="128">
        <f t="shared" si="13"/>
        <v>885.46</v>
      </c>
      <c r="D15" s="129">
        <f>$D$10+D14+0.01</f>
        <v>166.35</v>
      </c>
      <c r="E15" s="129">
        <f t="shared" si="0"/>
        <v>1090.52</v>
      </c>
      <c r="F15" s="128">
        <f t="shared" si="10"/>
        <v>181.92</v>
      </c>
      <c r="G15" s="128">
        <f t="shared" si="1"/>
        <v>1192.5899999999999</v>
      </c>
      <c r="H15" s="129">
        <f>H14+32.96+0.01</f>
        <v>197.8</v>
      </c>
      <c r="I15" s="129">
        <f t="shared" si="2"/>
        <v>1296.7</v>
      </c>
      <c r="J15" s="128">
        <f>$J$10+J14-0.01</f>
        <v>222.59</v>
      </c>
      <c r="K15" s="128">
        <f t="shared" si="3"/>
        <v>1459.1899999999998</v>
      </c>
      <c r="L15" s="129">
        <f t="shared" si="12"/>
        <v>253.03000000000003</v>
      </c>
      <c r="M15" s="129">
        <f t="shared" si="4"/>
        <v>1658.74</v>
      </c>
      <c r="N15" s="128">
        <f>$N$10+N14</f>
        <v>300</v>
      </c>
      <c r="O15" s="128">
        <f t="shared" si="5"/>
        <v>1966.68</v>
      </c>
      <c r="P15" s="130">
        <f t="shared" si="11"/>
        <v>312.01</v>
      </c>
      <c r="Q15" s="129">
        <f t="shared" si="6"/>
        <v>2045.3799999999999</v>
      </c>
      <c r="R15" s="129">
        <f>$R$10+R14</f>
        <v>359.94</v>
      </c>
      <c r="S15" s="129">
        <f t="shared" si="7"/>
        <v>2359.65</v>
      </c>
      <c r="T15" s="128">
        <f>$T$10+T14</f>
        <v>441.67</v>
      </c>
      <c r="U15" s="128">
        <f t="shared" si="8"/>
        <v>2895.42</v>
      </c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</row>
    <row r="16" spans="1:256" ht="15.75" customHeight="1" x14ac:dyDescent="0.2">
      <c r="A16" s="127" t="s">
        <v>63</v>
      </c>
      <c r="B16" s="128">
        <f t="shared" si="9"/>
        <v>157.57</v>
      </c>
      <c r="C16" s="128">
        <f t="shared" si="13"/>
        <v>907.97</v>
      </c>
      <c r="D16" s="129">
        <f>$D$10+D15</f>
        <v>194.07</v>
      </c>
      <c r="E16" s="129">
        <f t="shared" si="0"/>
        <v>1118.24</v>
      </c>
      <c r="F16" s="128">
        <f t="shared" si="10"/>
        <v>212.23999999999998</v>
      </c>
      <c r="G16" s="128">
        <f t="shared" si="1"/>
        <v>1222.9099999999999</v>
      </c>
      <c r="H16" s="129">
        <f>H15+32.96</f>
        <v>230.76000000000002</v>
      </c>
      <c r="I16" s="129">
        <f t="shared" si="2"/>
        <v>1329.66</v>
      </c>
      <c r="J16" s="128">
        <f>$J$10+J15</f>
        <v>259.69</v>
      </c>
      <c r="K16" s="128">
        <f t="shared" si="3"/>
        <v>1496.29</v>
      </c>
      <c r="L16" s="129">
        <f t="shared" si="12"/>
        <v>295.20000000000005</v>
      </c>
      <c r="M16" s="129">
        <f t="shared" si="4"/>
        <v>1700.91</v>
      </c>
      <c r="N16" s="128">
        <f>$N$10+N15+0.01</f>
        <v>350.01</v>
      </c>
      <c r="O16" s="128">
        <f t="shared" si="5"/>
        <v>2016.69</v>
      </c>
      <c r="P16" s="130">
        <f t="shared" si="11"/>
        <v>364.01</v>
      </c>
      <c r="Q16" s="129">
        <f t="shared" si="6"/>
        <v>2097.38</v>
      </c>
      <c r="R16" s="129">
        <f>$R$10+R15+0.01</f>
        <v>419.94</v>
      </c>
      <c r="S16" s="129">
        <f t="shared" si="7"/>
        <v>2419.65</v>
      </c>
      <c r="T16" s="128">
        <f>$T$10+T15</f>
        <v>515.28</v>
      </c>
      <c r="U16" s="128">
        <f t="shared" si="8"/>
        <v>2969.0299999999997</v>
      </c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</row>
    <row r="17" spans="1:256" ht="15.75" customHeight="1" x14ac:dyDescent="0.2">
      <c r="A17" s="127" t="s">
        <v>64</v>
      </c>
      <c r="B17" s="128">
        <f t="shared" si="9"/>
        <v>180.07999999999998</v>
      </c>
      <c r="C17" s="128">
        <f t="shared" si="13"/>
        <v>930.48</v>
      </c>
      <c r="D17" s="129">
        <f>$D$10+D16+0.01</f>
        <v>221.79999999999998</v>
      </c>
      <c r="E17" s="129">
        <f t="shared" si="0"/>
        <v>1145.97</v>
      </c>
      <c r="F17" s="128">
        <f t="shared" si="10"/>
        <v>242.55999999999997</v>
      </c>
      <c r="G17" s="128">
        <f t="shared" si="1"/>
        <v>1253.23</v>
      </c>
      <c r="H17" s="129">
        <f>H16+32.96+0.01</f>
        <v>263.73</v>
      </c>
      <c r="I17" s="129">
        <f t="shared" si="2"/>
        <v>1362.63</v>
      </c>
      <c r="J17" s="128">
        <f>$J$10+J16</f>
        <v>296.79000000000002</v>
      </c>
      <c r="K17" s="128">
        <f t="shared" si="3"/>
        <v>1533.3899999999999</v>
      </c>
      <c r="L17" s="129">
        <f t="shared" si="12"/>
        <v>337.37000000000006</v>
      </c>
      <c r="M17" s="129">
        <f t="shared" si="4"/>
        <v>1743.0800000000002</v>
      </c>
      <c r="N17" s="128">
        <f t="shared" ref="N17:N34" si="14">$N$10+N16</f>
        <v>400.01</v>
      </c>
      <c r="O17" s="128">
        <f t="shared" si="5"/>
        <v>2066.69</v>
      </c>
      <c r="P17" s="130">
        <f t="shared" si="11"/>
        <v>416.01</v>
      </c>
      <c r="Q17" s="129">
        <f t="shared" si="6"/>
        <v>2149.38</v>
      </c>
      <c r="R17" s="129">
        <f t="shared" ref="R17:R23" si="15">$R$10+R16</f>
        <v>479.93</v>
      </c>
      <c r="S17" s="129">
        <f t="shared" si="7"/>
        <v>2479.64</v>
      </c>
      <c r="T17" s="128">
        <f>$T$10+T16+0.01</f>
        <v>588.9</v>
      </c>
      <c r="U17" s="128">
        <f t="shared" si="8"/>
        <v>3042.65</v>
      </c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</row>
    <row r="18" spans="1:256" ht="15.75" customHeight="1" x14ac:dyDescent="0.2">
      <c r="A18" s="127" t="s">
        <v>65</v>
      </c>
      <c r="B18" s="128">
        <f t="shared" si="9"/>
        <v>202.58999999999997</v>
      </c>
      <c r="C18" s="128">
        <f t="shared" si="13"/>
        <v>952.99</v>
      </c>
      <c r="D18" s="129">
        <f>$D$10+D17</f>
        <v>249.51999999999998</v>
      </c>
      <c r="E18" s="129">
        <f t="shared" si="0"/>
        <v>1173.69</v>
      </c>
      <c r="F18" s="128">
        <f t="shared" si="10"/>
        <v>272.88</v>
      </c>
      <c r="G18" s="128">
        <f t="shared" si="1"/>
        <v>1283.55</v>
      </c>
      <c r="H18" s="129">
        <f>H17+32.96+0.01</f>
        <v>296.7</v>
      </c>
      <c r="I18" s="129">
        <f t="shared" si="2"/>
        <v>1395.6000000000001</v>
      </c>
      <c r="J18" s="128">
        <f>$J$10+J17</f>
        <v>333.89000000000004</v>
      </c>
      <c r="K18" s="128">
        <f t="shared" si="3"/>
        <v>1570.49</v>
      </c>
      <c r="L18" s="129">
        <f t="shared" si="12"/>
        <v>379.54000000000008</v>
      </c>
      <c r="M18" s="129">
        <f t="shared" si="4"/>
        <v>1785.25</v>
      </c>
      <c r="N18" s="128">
        <f t="shared" si="14"/>
        <v>450.01</v>
      </c>
      <c r="O18" s="128">
        <f t="shared" si="5"/>
        <v>2116.69</v>
      </c>
      <c r="P18" s="130">
        <f t="shared" si="11"/>
        <v>468.01</v>
      </c>
      <c r="Q18" s="129">
        <f t="shared" si="6"/>
        <v>2201.38</v>
      </c>
      <c r="R18" s="129">
        <f t="shared" si="15"/>
        <v>539.91999999999996</v>
      </c>
      <c r="S18" s="129">
        <f t="shared" si="7"/>
        <v>2539.63</v>
      </c>
      <c r="T18" s="128">
        <f>$T$10+T17</f>
        <v>662.51</v>
      </c>
      <c r="U18" s="128">
        <f t="shared" si="8"/>
        <v>3116.26</v>
      </c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31"/>
    </row>
    <row r="19" spans="1:256" ht="15.75" customHeight="1" x14ac:dyDescent="0.2">
      <c r="A19" s="127" t="s">
        <v>66</v>
      </c>
      <c r="B19" s="128">
        <f t="shared" si="9"/>
        <v>225.09999999999997</v>
      </c>
      <c r="C19" s="128">
        <f t="shared" si="13"/>
        <v>975.5</v>
      </c>
      <c r="D19" s="129">
        <f>$D$10+D18+0.01</f>
        <v>277.25</v>
      </c>
      <c r="E19" s="129">
        <f t="shared" si="0"/>
        <v>1201.42</v>
      </c>
      <c r="F19" s="128">
        <f t="shared" si="10"/>
        <v>303.2</v>
      </c>
      <c r="G19" s="128">
        <f t="shared" si="1"/>
        <v>1313.87</v>
      </c>
      <c r="H19" s="129">
        <f>H18+32.96+0.01</f>
        <v>329.66999999999996</v>
      </c>
      <c r="I19" s="129">
        <f t="shared" si="2"/>
        <v>1428.5700000000002</v>
      </c>
      <c r="J19" s="128">
        <f>$J$10+J18</f>
        <v>370.99000000000007</v>
      </c>
      <c r="K19" s="128">
        <f t="shared" si="3"/>
        <v>1607.59</v>
      </c>
      <c r="L19" s="129">
        <f>$L$10+L18+0.01</f>
        <v>421.72000000000008</v>
      </c>
      <c r="M19" s="129">
        <f t="shared" si="4"/>
        <v>1827.43</v>
      </c>
      <c r="N19" s="128">
        <f t="shared" si="14"/>
        <v>500.01</v>
      </c>
      <c r="O19" s="128">
        <f t="shared" si="5"/>
        <v>2166.69</v>
      </c>
      <c r="P19" s="130">
        <f>$P$10+P18+0.01</f>
        <v>520.02</v>
      </c>
      <c r="Q19" s="129">
        <f t="shared" si="6"/>
        <v>2253.39</v>
      </c>
      <c r="R19" s="129">
        <f t="shared" si="15"/>
        <v>599.91</v>
      </c>
      <c r="S19" s="129">
        <f t="shared" si="7"/>
        <v>2599.62</v>
      </c>
      <c r="T19" s="128">
        <f>$T$10+T18</f>
        <v>736.12</v>
      </c>
      <c r="U19" s="128">
        <f t="shared" si="8"/>
        <v>3189.87</v>
      </c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31"/>
    </row>
    <row r="20" spans="1:256" ht="15.75" customHeight="1" x14ac:dyDescent="0.2">
      <c r="A20" s="127" t="s">
        <v>67</v>
      </c>
      <c r="B20" s="128">
        <f t="shared" si="9"/>
        <v>247.60999999999996</v>
      </c>
      <c r="C20" s="128">
        <f t="shared" ref="C20:C25" si="16">$C$9+B20+0.02</f>
        <v>998.02</v>
      </c>
      <c r="D20" s="129">
        <f>$D$10+D19</f>
        <v>304.97000000000003</v>
      </c>
      <c r="E20" s="129">
        <f t="shared" si="0"/>
        <v>1229.1399999999999</v>
      </c>
      <c r="F20" s="128">
        <f t="shared" si="10"/>
        <v>333.52</v>
      </c>
      <c r="G20" s="128">
        <f t="shared" si="1"/>
        <v>1344.19</v>
      </c>
      <c r="H20" s="129">
        <f>H19+32.96</f>
        <v>362.62999999999994</v>
      </c>
      <c r="I20" s="129">
        <f t="shared" si="2"/>
        <v>1461.53</v>
      </c>
      <c r="J20" s="128">
        <f>$J$10+J19-0.01</f>
        <v>408.0800000000001</v>
      </c>
      <c r="K20" s="128">
        <f t="shared" si="3"/>
        <v>1644.68</v>
      </c>
      <c r="L20" s="129">
        <f t="shared" ref="L20:L25" si="17">$L$10+L19</f>
        <v>463.8900000000001</v>
      </c>
      <c r="M20" s="129">
        <f t="shared" si="4"/>
        <v>1869.6000000000001</v>
      </c>
      <c r="N20" s="128">
        <f t="shared" si="14"/>
        <v>550.01</v>
      </c>
      <c r="O20" s="128">
        <f t="shared" si="5"/>
        <v>2216.69</v>
      </c>
      <c r="P20" s="130">
        <f t="shared" ref="P20:P26" si="18">$P$10+P19</f>
        <v>572.02</v>
      </c>
      <c r="Q20" s="129">
        <f t="shared" si="6"/>
        <v>2305.39</v>
      </c>
      <c r="R20" s="129">
        <f t="shared" si="15"/>
        <v>659.9</v>
      </c>
      <c r="S20" s="129">
        <f t="shared" si="7"/>
        <v>2659.61</v>
      </c>
      <c r="T20" s="128">
        <f>$T$10+T19</f>
        <v>809.73</v>
      </c>
      <c r="U20" s="128">
        <f t="shared" si="8"/>
        <v>3263.48</v>
      </c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31"/>
    </row>
    <row r="21" spans="1:256" ht="15.75" customHeight="1" x14ac:dyDescent="0.2">
      <c r="A21" s="127" t="s">
        <v>68</v>
      </c>
      <c r="B21" s="128">
        <f t="shared" si="9"/>
        <v>270.11999999999995</v>
      </c>
      <c r="C21" s="128">
        <f t="shared" si="16"/>
        <v>1020.53</v>
      </c>
      <c r="D21" s="129">
        <f>$D$10+D20+0.01</f>
        <v>332.70000000000005</v>
      </c>
      <c r="E21" s="129">
        <f t="shared" si="0"/>
        <v>1256.8699999999999</v>
      </c>
      <c r="F21" s="128">
        <f t="shared" si="10"/>
        <v>363.84</v>
      </c>
      <c r="G21" s="128">
        <f t="shared" si="1"/>
        <v>1374.51</v>
      </c>
      <c r="H21" s="129">
        <f>H20+32.96+0.01</f>
        <v>395.59999999999991</v>
      </c>
      <c r="I21" s="129">
        <f t="shared" si="2"/>
        <v>1494.5</v>
      </c>
      <c r="J21" s="128">
        <f>$J$10+J20</f>
        <v>445.18000000000012</v>
      </c>
      <c r="K21" s="128">
        <f t="shared" si="3"/>
        <v>1681.78</v>
      </c>
      <c r="L21" s="129">
        <f t="shared" si="17"/>
        <v>506.06000000000012</v>
      </c>
      <c r="M21" s="129">
        <f t="shared" si="4"/>
        <v>1911.7700000000002</v>
      </c>
      <c r="N21" s="128">
        <f t="shared" si="14"/>
        <v>600.01</v>
      </c>
      <c r="O21" s="128">
        <f t="shared" si="5"/>
        <v>2266.69</v>
      </c>
      <c r="P21" s="130">
        <f t="shared" si="18"/>
        <v>624.02</v>
      </c>
      <c r="Q21" s="129">
        <f t="shared" si="6"/>
        <v>2357.39</v>
      </c>
      <c r="R21" s="129">
        <f t="shared" si="15"/>
        <v>719.89</v>
      </c>
      <c r="S21" s="129">
        <f t="shared" si="7"/>
        <v>2719.6</v>
      </c>
      <c r="T21" s="128">
        <f>$T$10+T20</f>
        <v>883.34</v>
      </c>
      <c r="U21" s="128">
        <f t="shared" si="8"/>
        <v>3337.09</v>
      </c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31"/>
    </row>
    <row r="22" spans="1:256" ht="15.75" customHeight="1" x14ac:dyDescent="0.2">
      <c r="A22" s="127" t="s">
        <v>69</v>
      </c>
      <c r="B22" s="128">
        <f t="shared" si="9"/>
        <v>292.62999999999994</v>
      </c>
      <c r="C22" s="128">
        <f t="shared" si="16"/>
        <v>1043.04</v>
      </c>
      <c r="D22" s="129">
        <f>$D$10+D21</f>
        <v>360.42000000000007</v>
      </c>
      <c r="E22" s="129">
        <f t="shared" si="0"/>
        <v>1284.5900000000001</v>
      </c>
      <c r="F22" s="128">
        <f t="shared" si="10"/>
        <v>394.15999999999997</v>
      </c>
      <c r="G22" s="128">
        <f t="shared" si="1"/>
        <v>1404.83</v>
      </c>
      <c r="H22" s="129">
        <f>H21+32.96+0.01</f>
        <v>428.56999999999988</v>
      </c>
      <c r="I22" s="129">
        <f t="shared" si="2"/>
        <v>1527.47</v>
      </c>
      <c r="J22" s="128">
        <f>$J$10+J21</f>
        <v>482.28000000000014</v>
      </c>
      <c r="K22" s="128">
        <f t="shared" si="3"/>
        <v>1718.88</v>
      </c>
      <c r="L22" s="129">
        <f t="shared" si="17"/>
        <v>548.23000000000013</v>
      </c>
      <c r="M22" s="129">
        <f t="shared" si="4"/>
        <v>1953.94</v>
      </c>
      <c r="N22" s="128">
        <f t="shared" si="14"/>
        <v>650.01</v>
      </c>
      <c r="O22" s="128">
        <f t="shared" si="5"/>
        <v>2316.69</v>
      </c>
      <c r="P22" s="130">
        <f t="shared" si="18"/>
        <v>676.02</v>
      </c>
      <c r="Q22" s="129">
        <f t="shared" si="6"/>
        <v>2409.39</v>
      </c>
      <c r="R22" s="129">
        <f t="shared" si="15"/>
        <v>779.88</v>
      </c>
      <c r="S22" s="129">
        <f t="shared" si="7"/>
        <v>2779.59</v>
      </c>
      <c r="T22" s="128">
        <f>$T$10+T21+0.01</f>
        <v>956.96</v>
      </c>
      <c r="U22" s="128">
        <f t="shared" si="8"/>
        <v>3410.71</v>
      </c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  <c r="IH22" s="131"/>
      <c r="II22" s="131"/>
      <c r="IJ22" s="131"/>
      <c r="IK22" s="131"/>
      <c r="IL22" s="131"/>
      <c r="IM22" s="131"/>
      <c r="IN22" s="131"/>
      <c r="IO22" s="131"/>
      <c r="IP22" s="131"/>
      <c r="IQ22" s="131"/>
      <c r="IR22" s="131"/>
      <c r="IS22" s="131"/>
      <c r="IT22" s="131"/>
      <c r="IU22" s="131"/>
      <c r="IV22" s="131"/>
    </row>
    <row r="23" spans="1:256" ht="15.75" customHeight="1" x14ac:dyDescent="0.2">
      <c r="A23" s="127" t="s">
        <v>70</v>
      </c>
      <c r="B23" s="128">
        <f t="shared" si="9"/>
        <v>315.13999999999993</v>
      </c>
      <c r="C23" s="128">
        <f t="shared" si="16"/>
        <v>1065.55</v>
      </c>
      <c r="D23" s="129">
        <f>$D$10+D22+0.01</f>
        <v>388.15000000000009</v>
      </c>
      <c r="E23" s="129">
        <f t="shared" si="0"/>
        <v>1312.3200000000002</v>
      </c>
      <c r="F23" s="128">
        <f t="shared" si="10"/>
        <v>424.47999999999996</v>
      </c>
      <c r="G23" s="128">
        <f t="shared" si="1"/>
        <v>1435.1499999999999</v>
      </c>
      <c r="H23" s="129">
        <f>H22+32.96</f>
        <v>461.52999999999986</v>
      </c>
      <c r="I23" s="129">
        <f t="shared" si="2"/>
        <v>1560.4299999999998</v>
      </c>
      <c r="J23" s="128">
        <f>$J$10+J22</f>
        <v>519.38000000000011</v>
      </c>
      <c r="K23" s="128">
        <f t="shared" si="3"/>
        <v>1755.98</v>
      </c>
      <c r="L23" s="129">
        <f t="shared" si="17"/>
        <v>590.40000000000009</v>
      </c>
      <c r="M23" s="129">
        <f t="shared" si="4"/>
        <v>1996.1100000000001</v>
      </c>
      <c r="N23" s="128">
        <f t="shared" si="14"/>
        <v>700.01</v>
      </c>
      <c r="O23" s="128">
        <f t="shared" si="5"/>
        <v>2366.69</v>
      </c>
      <c r="P23" s="130">
        <f t="shared" si="18"/>
        <v>728.02</v>
      </c>
      <c r="Q23" s="129">
        <f t="shared" si="6"/>
        <v>2461.39</v>
      </c>
      <c r="R23" s="129">
        <f t="shared" si="15"/>
        <v>839.87</v>
      </c>
      <c r="S23" s="129">
        <f t="shared" si="7"/>
        <v>2839.58</v>
      </c>
      <c r="T23" s="128">
        <f>$T$10+T22</f>
        <v>1030.57</v>
      </c>
      <c r="U23" s="128">
        <f t="shared" si="8"/>
        <v>3484.3199999999997</v>
      </c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1"/>
      <c r="HB23" s="131"/>
      <c r="HC23" s="131"/>
      <c r="HD23" s="131"/>
      <c r="HE23" s="131"/>
      <c r="HF23" s="131"/>
      <c r="HG23" s="131"/>
      <c r="HH23" s="131"/>
      <c r="HI23" s="131"/>
      <c r="HJ23" s="131"/>
      <c r="HK23" s="131"/>
      <c r="HL23" s="131"/>
      <c r="HM23" s="131"/>
      <c r="HN23" s="131"/>
      <c r="HO23" s="131"/>
      <c r="HP23" s="131"/>
      <c r="HQ23" s="131"/>
      <c r="HR23" s="131"/>
      <c r="HS23" s="131"/>
      <c r="HT23" s="131"/>
      <c r="HU23" s="131"/>
      <c r="HV23" s="131"/>
      <c r="HW23" s="131"/>
      <c r="HX23" s="131"/>
      <c r="HY23" s="131"/>
      <c r="HZ23" s="131"/>
      <c r="IA23" s="131"/>
      <c r="IB23" s="131"/>
      <c r="IC23" s="131"/>
      <c r="ID23" s="131"/>
      <c r="IE23" s="131"/>
      <c r="IF23" s="131"/>
      <c r="IG23" s="131"/>
      <c r="IH23" s="131"/>
      <c r="II23" s="131"/>
      <c r="IJ23" s="131"/>
      <c r="IK23" s="131"/>
      <c r="IL23" s="131"/>
      <c r="IM23" s="131"/>
      <c r="IN23" s="131"/>
      <c r="IO23" s="131"/>
      <c r="IP23" s="131"/>
      <c r="IQ23" s="131"/>
      <c r="IR23" s="131"/>
      <c r="IS23" s="131"/>
      <c r="IT23" s="131"/>
      <c r="IU23" s="131"/>
      <c r="IV23" s="131"/>
    </row>
    <row r="24" spans="1:256" ht="15.75" customHeight="1" x14ac:dyDescent="0.2">
      <c r="A24" s="127" t="s">
        <v>71</v>
      </c>
      <c r="B24" s="128">
        <f t="shared" si="9"/>
        <v>337.64999999999992</v>
      </c>
      <c r="C24" s="128">
        <f t="shared" si="16"/>
        <v>1088.06</v>
      </c>
      <c r="D24" s="129">
        <f>$D$10+D23</f>
        <v>415.87000000000012</v>
      </c>
      <c r="E24" s="129">
        <f t="shared" si="0"/>
        <v>1340.04</v>
      </c>
      <c r="F24" s="128">
        <f t="shared" si="10"/>
        <v>454.79999999999995</v>
      </c>
      <c r="G24" s="128">
        <f t="shared" si="1"/>
        <v>1465.4699999999998</v>
      </c>
      <c r="H24" s="129">
        <f>H23+32.96+0.01</f>
        <v>494.49999999999983</v>
      </c>
      <c r="I24" s="129">
        <f t="shared" si="2"/>
        <v>1593.3999999999999</v>
      </c>
      <c r="J24" s="128">
        <f>$J$10+J23</f>
        <v>556.48000000000013</v>
      </c>
      <c r="K24" s="128">
        <f t="shared" si="3"/>
        <v>1793.08</v>
      </c>
      <c r="L24" s="129">
        <f t="shared" si="17"/>
        <v>632.57000000000005</v>
      </c>
      <c r="M24" s="129">
        <f t="shared" si="4"/>
        <v>2038.2800000000002</v>
      </c>
      <c r="N24" s="128">
        <f t="shared" si="14"/>
        <v>750.01</v>
      </c>
      <c r="O24" s="128">
        <f t="shared" si="5"/>
        <v>2416.69</v>
      </c>
      <c r="P24" s="130">
        <f t="shared" si="18"/>
        <v>780.02</v>
      </c>
      <c r="Q24" s="129">
        <f t="shared" si="6"/>
        <v>2513.39</v>
      </c>
      <c r="R24" s="129">
        <f>$R$10+R23+0.01</f>
        <v>899.87</v>
      </c>
      <c r="S24" s="129">
        <f t="shared" si="7"/>
        <v>2899.58</v>
      </c>
      <c r="T24" s="128">
        <f>$T$10+T23</f>
        <v>1104.1799999999998</v>
      </c>
      <c r="U24" s="128">
        <f t="shared" si="8"/>
        <v>3557.93</v>
      </c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  <c r="HX24" s="131"/>
      <c r="HY24" s="131"/>
      <c r="HZ24" s="131"/>
      <c r="IA24" s="131"/>
      <c r="IB24" s="131"/>
      <c r="IC24" s="131"/>
      <c r="ID24" s="131"/>
      <c r="IE24" s="131"/>
      <c r="IF24" s="131"/>
      <c r="IG24" s="131"/>
      <c r="IH24" s="131"/>
      <c r="II24" s="131"/>
      <c r="IJ24" s="131"/>
      <c r="IK24" s="131"/>
      <c r="IL24" s="131"/>
      <c r="IM24" s="131"/>
      <c r="IN24" s="131"/>
      <c r="IO24" s="131"/>
      <c r="IP24" s="131"/>
      <c r="IQ24" s="131"/>
      <c r="IR24" s="131"/>
      <c r="IS24" s="131"/>
      <c r="IT24" s="131"/>
      <c r="IU24" s="131"/>
      <c r="IV24" s="131"/>
    </row>
    <row r="25" spans="1:256" ht="15.75" customHeight="1" x14ac:dyDescent="0.2">
      <c r="A25" s="127" t="s">
        <v>72</v>
      </c>
      <c r="B25" s="128">
        <f t="shared" si="9"/>
        <v>360.15999999999991</v>
      </c>
      <c r="C25" s="128">
        <f t="shared" si="16"/>
        <v>1110.57</v>
      </c>
      <c r="D25" s="129">
        <f>$D$10+D24+0.01</f>
        <v>443.60000000000014</v>
      </c>
      <c r="E25" s="129">
        <f t="shared" si="0"/>
        <v>1367.77</v>
      </c>
      <c r="F25" s="128">
        <f t="shared" si="10"/>
        <v>485.11999999999995</v>
      </c>
      <c r="G25" s="128">
        <f t="shared" si="1"/>
        <v>1495.79</v>
      </c>
      <c r="H25" s="129">
        <f>H24+32.96+0.01</f>
        <v>527.4699999999998</v>
      </c>
      <c r="I25" s="129">
        <f t="shared" si="2"/>
        <v>1626.37</v>
      </c>
      <c r="J25" s="128">
        <f>$J$10+J24-0.01</f>
        <v>593.57000000000016</v>
      </c>
      <c r="K25" s="128">
        <f t="shared" si="3"/>
        <v>1830.17</v>
      </c>
      <c r="L25" s="129">
        <f t="shared" si="17"/>
        <v>674.74</v>
      </c>
      <c r="M25" s="129">
        <f t="shared" si="4"/>
        <v>2080.4499999999998</v>
      </c>
      <c r="N25" s="128">
        <f t="shared" si="14"/>
        <v>800.01</v>
      </c>
      <c r="O25" s="128">
        <f t="shared" si="5"/>
        <v>2466.69</v>
      </c>
      <c r="P25" s="130">
        <f t="shared" si="18"/>
        <v>832.02</v>
      </c>
      <c r="Q25" s="129">
        <f t="shared" si="6"/>
        <v>2565.39</v>
      </c>
      <c r="R25" s="129">
        <f t="shared" ref="R25:R32" si="19">$R$10+R24</f>
        <v>959.86</v>
      </c>
      <c r="S25" s="129">
        <f t="shared" si="7"/>
        <v>2959.57</v>
      </c>
      <c r="T25" s="128">
        <f>$T$10+T24</f>
        <v>1177.7899999999997</v>
      </c>
      <c r="U25" s="128">
        <f t="shared" si="8"/>
        <v>3631.54</v>
      </c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31"/>
      <c r="EK25" s="131"/>
      <c r="EL25" s="131"/>
      <c r="EM25" s="131"/>
      <c r="EN25" s="131"/>
      <c r="EO25" s="131"/>
      <c r="EP25" s="131"/>
      <c r="EQ25" s="131"/>
      <c r="ER25" s="131"/>
      <c r="ES25" s="131"/>
      <c r="ET25" s="131"/>
      <c r="EU25" s="131"/>
      <c r="EV25" s="131"/>
      <c r="EW25" s="131"/>
      <c r="EX25" s="131"/>
      <c r="EY25" s="131"/>
      <c r="EZ25" s="131"/>
      <c r="FA25" s="131"/>
      <c r="FB25" s="131"/>
      <c r="FC25" s="131"/>
      <c r="FD25" s="131"/>
      <c r="FE25" s="131"/>
      <c r="FF25" s="131"/>
      <c r="FG25" s="131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1"/>
      <c r="FU25" s="131"/>
      <c r="FV25" s="131"/>
      <c r="FW25" s="131"/>
      <c r="FX25" s="131"/>
      <c r="FY25" s="131"/>
      <c r="FZ25" s="131"/>
      <c r="GA25" s="131"/>
      <c r="GB25" s="131"/>
      <c r="GC25" s="131"/>
      <c r="GD25" s="131"/>
      <c r="GE25" s="131"/>
      <c r="GF25" s="131"/>
      <c r="GG25" s="131"/>
      <c r="GH25" s="131"/>
      <c r="GI25" s="131"/>
      <c r="GJ25" s="131"/>
      <c r="GK25" s="131"/>
      <c r="GL25" s="131"/>
      <c r="GM25" s="131"/>
      <c r="GN25" s="131"/>
      <c r="GO25" s="131"/>
      <c r="GP25" s="131"/>
      <c r="GQ25" s="131"/>
      <c r="GR25" s="131"/>
      <c r="GS25" s="131"/>
      <c r="GT25" s="131"/>
      <c r="GU25" s="131"/>
      <c r="GV25" s="131"/>
      <c r="GW25" s="131"/>
      <c r="GX25" s="131"/>
      <c r="GY25" s="131"/>
      <c r="GZ25" s="131"/>
      <c r="HA25" s="131"/>
      <c r="HB25" s="131"/>
      <c r="HC25" s="131"/>
      <c r="HD25" s="131"/>
      <c r="HE25" s="131"/>
      <c r="HF25" s="131"/>
      <c r="HG25" s="131"/>
      <c r="HH25" s="131"/>
      <c r="HI25" s="131"/>
      <c r="HJ25" s="131"/>
      <c r="HK25" s="131"/>
      <c r="HL25" s="131"/>
      <c r="HM25" s="131"/>
      <c r="HN25" s="131"/>
      <c r="HO25" s="131"/>
      <c r="HP25" s="131"/>
      <c r="HQ25" s="131"/>
      <c r="HR25" s="131"/>
      <c r="HS25" s="131"/>
      <c r="HT25" s="131"/>
      <c r="HU25" s="131"/>
      <c r="HV25" s="131"/>
      <c r="HW25" s="131"/>
      <c r="HX25" s="131"/>
      <c r="HY25" s="131"/>
      <c r="HZ25" s="131"/>
      <c r="IA25" s="131"/>
      <c r="IB25" s="131"/>
      <c r="IC25" s="131"/>
      <c r="ID25" s="131"/>
      <c r="IE25" s="131"/>
      <c r="IF25" s="131"/>
      <c r="IG25" s="131"/>
      <c r="IH25" s="131"/>
      <c r="II25" s="131"/>
      <c r="IJ25" s="131"/>
      <c r="IK25" s="131"/>
      <c r="IL25" s="131"/>
      <c r="IM25" s="131"/>
      <c r="IN25" s="131"/>
      <c r="IO25" s="131"/>
      <c r="IP25" s="131"/>
      <c r="IQ25" s="131"/>
      <c r="IR25" s="131"/>
      <c r="IS25" s="131"/>
      <c r="IT25" s="131"/>
      <c r="IU25" s="131"/>
      <c r="IV25" s="131"/>
    </row>
    <row r="26" spans="1:256" ht="15.75" customHeight="1" x14ac:dyDescent="0.2">
      <c r="A26" s="127" t="s">
        <v>73</v>
      </c>
      <c r="B26" s="128">
        <f t="shared" si="9"/>
        <v>382.6699999999999</v>
      </c>
      <c r="C26" s="128">
        <f t="shared" ref="C26:C31" si="20">$C$9+B26+0.03</f>
        <v>1133.0899999999999</v>
      </c>
      <c r="D26" s="129">
        <f>$D$10+D25</f>
        <v>471.32000000000016</v>
      </c>
      <c r="E26" s="129">
        <f t="shared" si="0"/>
        <v>1395.4900000000002</v>
      </c>
      <c r="F26" s="128">
        <f t="shared" si="10"/>
        <v>515.43999999999994</v>
      </c>
      <c r="G26" s="128">
        <f t="shared" si="1"/>
        <v>1526.11</v>
      </c>
      <c r="H26" s="129">
        <f>H25+32.96</f>
        <v>560.42999999999984</v>
      </c>
      <c r="I26" s="129">
        <f t="shared" si="2"/>
        <v>1659.33</v>
      </c>
      <c r="J26" s="128">
        <f>$J$10+J25</f>
        <v>630.67000000000019</v>
      </c>
      <c r="K26" s="128">
        <f t="shared" si="3"/>
        <v>1867.27</v>
      </c>
      <c r="L26" s="129">
        <f>$L$10+L25+0.01</f>
        <v>716.92</v>
      </c>
      <c r="M26" s="129">
        <f t="shared" si="4"/>
        <v>2122.63</v>
      </c>
      <c r="N26" s="128">
        <f t="shared" si="14"/>
        <v>850.01</v>
      </c>
      <c r="O26" s="128">
        <f t="shared" si="5"/>
        <v>2516.69</v>
      </c>
      <c r="P26" s="130">
        <f t="shared" si="18"/>
        <v>884.02</v>
      </c>
      <c r="Q26" s="129">
        <f t="shared" si="6"/>
        <v>2617.39</v>
      </c>
      <c r="R26" s="129">
        <f t="shared" si="19"/>
        <v>1019.85</v>
      </c>
      <c r="S26" s="129">
        <f t="shared" si="7"/>
        <v>3019.56</v>
      </c>
      <c r="T26" s="128">
        <f>$T$10+T25+0.01</f>
        <v>1251.4099999999996</v>
      </c>
      <c r="U26" s="128">
        <f t="shared" si="8"/>
        <v>3705.16</v>
      </c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1"/>
      <c r="GD26" s="131"/>
      <c r="GE26" s="131"/>
      <c r="GF26" s="131"/>
      <c r="GG26" s="131"/>
      <c r="GH26" s="131"/>
      <c r="GI26" s="131"/>
      <c r="GJ26" s="131"/>
      <c r="GK26" s="131"/>
      <c r="GL26" s="131"/>
      <c r="GM26" s="131"/>
      <c r="GN26" s="131"/>
      <c r="GO26" s="131"/>
      <c r="GP26" s="131"/>
      <c r="GQ26" s="131"/>
      <c r="GR26" s="131"/>
      <c r="GS26" s="131"/>
      <c r="GT26" s="131"/>
      <c r="GU26" s="131"/>
      <c r="GV26" s="131"/>
      <c r="GW26" s="131"/>
      <c r="GX26" s="131"/>
      <c r="GY26" s="131"/>
      <c r="GZ26" s="131"/>
      <c r="HA26" s="131"/>
      <c r="HB26" s="131"/>
      <c r="HC26" s="131"/>
      <c r="HD26" s="131"/>
      <c r="HE26" s="131"/>
      <c r="HF26" s="131"/>
      <c r="HG26" s="131"/>
      <c r="HH26" s="131"/>
      <c r="HI26" s="131"/>
      <c r="HJ26" s="131"/>
      <c r="HK26" s="131"/>
      <c r="HL26" s="131"/>
      <c r="HM26" s="131"/>
      <c r="HN26" s="131"/>
      <c r="HO26" s="131"/>
      <c r="HP26" s="131"/>
      <c r="HQ26" s="131"/>
      <c r="HR26" s="131"/>
      <c r="HS26" s="131"/>
      <c r="HT26" s="131"/>
      <c r="HU26" s="131"/>
      <c r="HV26" s="131"/>
      <c r="HW26" s="131"/>
      <c r="HX26" s="131"/>
      <c r="HY26" s="131"/>
      <c r="HZ26" s="131"/>
      <c r="IA26" s="131"/>
      <c r="IB26" s="131"/>
      <c r="IC26" s="131"/>
      <c r="ID26" s="131"/>
      <c r="IE26" s="131"/>
      <c r="IF26" s="131"/>
      <c r="IG26" s="131"/>
      <c r="IH26" s="131"/>
      <c r="II26" s="131"/>
      <c r="IJ26" s="131"/>
      <c r="IK26" s="131"/>
      <c r="IL26" s="131"/>
      <c r="IM26" s="131"/>
      <c r="IN26" s="131"/>
      <c r="IO26" s="131"/>
      <c r="IP26" s="131"/>
      <c r="IQ26" s="131"/>
      <c r="IR26" s="131"/>
      <c r="IS26" s="131"/>
      <c r="IT26" s="131"/>
      <c r="IU26" s="131"/>
      <c r="IV26" s="131"/>
    </row>
    <row r="27" spans="1:256" ht="15.75" customHeight="1" x14ac:dyDescent="0.2">
      <c r="A27" s="127" t="s">
        <v>74</v>
      </c>
      <c r="B27" s="128">
        <f t="shared" si="9"/>
        <v>405.17999999999989</v>
      </c>
      <c r="C27" s="128">
        <f t="shared" si="20"/>
        <v>1155.5999999999999</v>
      </c>
      <c r="D27" s="129">
        <f>$D$10+D26+0.01</f>
        <v>499.05000000000018</v>
      </c>
      <c r="E27" s="129">
        <f t="shared" si="0"/>
        <v>1423.2200000000003</v>
      </c>
      <c r="F27" s="128">
        <f t="shared" si="10"/>
        <v>545.76</v>
      </c>
      <c r="G27" s="128">
        <f t="shared" si="1"/>
        <v>1556.4299999999998</v>
      </c>
      <c r="H27" s="129">
        <f>H26+32.96+0.01</f>
        <v>593.39999999999986</v>
      </c>
      <c r="I27" s="129">
        <f t="shared" si="2"/>
        <v>1692.3</v>
      </c>
      <c r="J27" s="128">
        <f>$J$10+J26</f>
        <v>667.77000000000021</v>
      </c>
      <c r="K27" s="128">
        <f t="shared" si="3"/>
        <v>1904.3700000000001</v>
      </c>
      <c r="L27" s="129">
        <f t="shared" ref="L27:L33" si="21">$L$10+L26</f>
        <v>759.08999999999992</v>
      </c>
      <c r="M27" s="129">
        <f t="shared" si="4"/>
        <v>2164.8000000000002</v>
      </c>
      <c r="N27" s="128">
        <f t="shared" si="14"/>
        <v>900.01</v>
      </c>
      <c r="O27" s="128">
        <f t="shared" si="5"/>
        <v>2566.69</v>
      </c>
      <c r="P27" s="130">
        <f>$P$10+P26+0.01</f>
        <v>936.03</v>
      </c>
      <c r="Q27" s="129">
        <f t="shared" si="6"/>
        <v>2669.3999999999996</v>
      </c>
      <c r="R27" s="129">
        <f t="shared" si="19"/>
        <v>1079.8399999999999</v>
      </c>
      <c r="S27" s="129">
        <f t="shared" si="7"/>
        <v>3079.55</v>
      </c>
      <c r="T27" s="128">
        <f>$T$10+T26</f>
        <v>1325.0199999999995</v>
      </c>
      <c r="U27" s="128">
        <f t="shared" si="8"/>
        <v>3778.7699999999995</v>
      </c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1"/>
      <c r="GB27" s="131"/>
      <c r="GC27" s="131"/>
      <c r="GD27" s="131"/>
      <c r="GE27" s="131"/>
      <c r="GF27" s="131"/>
      <c r="GG27" s="131"/>
      <c r="GH27" s="131"/>
      <c r="GI27" s="131"/>
      <c r="GJ27" s="131"/>
      <c r="GK27" s="131"/>
      <c r="GL27" s="131"/>
      <c r="GM27" s="131"/>
      <c r="GN27" s="131"/>
      <c r="GO27" s="131"/>
      <c r="GP27" s="131"/>
      <c r="GQ27" s="131"/>
      <c r="GR27" s="131"/>
      <c r="GS27" s="131"/>
      <c r="GT27" s="131"/>
      <c r="GU27" s="131"/>
      <c r="GV27" s="131"/>
      <c r="GW27" s="131"/>
      <c r="GX27" s="131"/>
      <c r="GY27" s="131"/>
      <c r="GZ27" s="131"/>
      <c r="HA27" s="131"/>
      <c r="HB27" s="131"/>
      <c r="HC27" s="131"/>
      <c r="HD27" s="131"/>
      <c r="HE27" s="131"/>
      <c r="HF27" s="131"/>
      <c r="HG27" s="131"/>
      <c r="HH27" s="131"/>
      <c r="HI27" s="131"/>
      <c r="HJ27" s="131"/>
      <c r="HK27" s="131"/>
      <c r="HL27" s="131"/>
      <c r="HM27" s="131"/>
      <c r="HN27" s="131"/>
      <c r="HO27" s="131"/>
      <c r="HP27" s="131"/>
      <c r="HQ27" s="131"/>
      <c r="HR27" s="131"/>
      <c r="HS27" s="131"/>
      <c r="HT27" s="131"/>
      <c r="HU27" s="131"/>
      <c r="HV27" s="131"/>
      <c r="HW27" s="131"/>
      <c r="HX27" s="131"/>
      <c r="HY27" s="131"/>
      <c r="HZ27" s="131"/>
      <c r="IA27" s="131"/>
      <c r="IB27" s="131"/>
      <c r="IC27" s="131"/>
      <c r="ID27" s="131"/>
      <c r="IE27" s="131"/>
      <c r="IF27" s="131"/>
      <c r="IG27" s="131"/>
      <c r="IH27" s="131"/>
      <c r="II27" s="131"/>
      <c r="IJ27" s="131"/>
      <c r="IK27" s="131"/>
      <c r="IL27" s="131"/>
      <c r="IM27" s="131"/>
      <c r="IN27" s="131"/>
      <c r="IO27" s="131"/>
      <c r="IP27" s="131"/>
      <c r="IQ27" s="131"/>
      <c r="IR27" s="131"/>
      <c r="IS27" s="131"/>
      <c r="IT27" s="131"/>
      <c r="IU27" s="131"/>
      <c r="IV27" s="131"/>
    </row>
    <row r="28" spans="1:256" ht="15.75" customHeight="1" x14ac:dyDescent="0.2">
      <c r="A28" s="127" t="s">
        <v>75</v>
      </c>
      <c r="B28" s="128">
        <f t="shared" si="9"/>
        <v>427.68999999999988</v>
      </c>
      <c r="C28" s="128">
        <f t="shared" si="20"/>
        <v>1178.1099999999999</v>
      </c>
      <c r="D28" s="129">
        <f>$D$10+D27</f>
        <v>526.77000000000021</v>
      </c>
      <c r="E28" s="129">
        <f t="shared" si="0"/>
        <v>1450.94</v>
      </c>
      <c r="F28" s="128">
        <f t="shared" si="10"/>
        <v>576.08000000000004</v>
      </c>
      <c r="G28" s="128">
        <f t="shared" si="1"/>
        <v>1586.75</v>
      </c>
      <c r="H28" s="129">
        <f>H27+32.96+0.01</f>
        <v>626.36999999999989</v>
      </c>
      <c r="I28" s="129">
        <f t="shared" si="2"/>
        <v>1725.27</v>
      </c>
      <c r="J28" s="128">
        <f>$J$10+J27</f>
        <v>704.87000000000023</v>
      </c>
      <c r="K28" s="128">
        <f t="shared" si="3"/>
        <v>1941.4700000000003</v>
      </c>
      <c r="L28" s="129">
        <f t="shared" si="21"/>
        <v>801.25999999999988</v>
      </c>
      <c r="M28" s="129">
        <f t="shared" si="4"/>
        <v>2206.9699999999998</v>
      </c>
      <c r="N28" s="128">
        <f t="shared" si="14"/>
        <v>950.01</v>
      </c>
      <c r="O28" s="128">
        <f t="shared" si="5"/>
        <v>2616.69</v>
      </c>
      <c r="P28" s="130">
        <f t="shared" ref="P28:P34" si="22">$P$10+P27</f>
        <v>988.03</v>
      </c>
      <c r="Q28" s="129">
        <f t="shared" si="6"/>
        <v>2721.3999999999996</v>
      </c>
      <c r="R28" s="129">
        <f t="shared" si="19"/>
        <v>1139.83</v>
      </c>
      <c r="S28" s="129">
        <f t="shared" si="7"/>
        <v>3139.54</v>
      </c>
      <c r="T28" s="128">
        <f>$T$10+T27</f>
        <v>1398.6299999999994</v>
      </c>
      <c r="U28" s="128">
        <f t="shared" si="8"/>
        <v>3852.3799999999992</v>
      </c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131"/>
      <c r="GB28" s="131"/>
      <c r="GC28" s="131"/>
      <c r="GD28" s="131"/>
      <c r="GE28" s="131"/>
      <c r="GF28" s="131"/>
      <c r="GG28" s="131"/>
      <c r="GH28" s="131"/>
      <c r="GI28" s="131"/>
      <c r="GJ28" s="131"/>
      <c r="GK28" s="131"/>
      <c r="GL28" s="131"/>
      <c r="GM28" s="131"/>
      <c r="GN28" s="131"/>
      <c r="GO28" s="131"/>
      <c r="GP28" s="131"/>
      <c r="GQ28" s="131"/>
      <c r="GR28" s="131"/>
      <c r="GS28" s="131"/>
      <c r="GT28" s="131"/>
      <c r="GU28" s="131"/>
      <c r="GV28" s="131"/>
      <c r="GW28" s="131"/>
      <c r="GX28" s="131"/>
      <c r="GY28" s="131"/>
      <c r="GZ28" s="131"/>
      <c r="HA28" s="131"/>
      <c r="HB28" s="131"/>
      <c r="HC28" s="131"/>
      <c r="HD28" s="131"/>
      <c r="HE28" s="131"/>
      <c r="HF28" s="131"/>
      <c r="HG28" s="131"/>
      <c r="HH28" s="131"/>
      <c r="HI28" s="131"/>
      <c r="HJ28" s="131"/>
      <c r="HK28" s="131"/>
      <c r="HL28" s="131"/>
      <c r="HM28" s="131"/>
      <c r="HN28" s="131"/>
      <c r="HO28" s="131"/>
      <c r="HP28" s="131"/>
      <c r="HQ28" s="131"/>
      <c r="HR28" s="131"/>
      <c r="HS28" s="131"/>
      <c r="HT28" s="131"/>
      <c r="HU28" s="131"/>
      <c r="HV28" s="131"/>
      <c r="HW28" s="131"/>
      <c r="HX28" s="131"/>
      <c r="HY28" s="131"/>
      <c r="HZ28" s="131"/>
      <c r="IA28" s="131"/>
      <c r="IB28" s="131"/>
      <c r="IC28" s="131"/>
      <c r="ID28" s="131"/>
      <c r="IE28" s="131"/>
      <c r="IF28" s="131"/>
      <c r="IG28" s="131"/>
      <c r="IH28" s="131"/>
      <c r="II28" s="131"/>
      <c r="IJ28" s="131"/>
      <c r="IK28" s="131"/>
      <c r="IL28" s="131"/>
      <c r="IM28" s="131"/>
      <c r="IN28" s="131"/>
      <c r="IO28" s="131"/>
      <c r="IP28" s="131"/>
      <c r="IQ28" s="131"/>
      <c r="IR28" s="131"/>
      <c r="IS28" s="131"/>
      <c r="IT28" s="131"/>
      <c r="IU28" s="131"/>
      <c r="IV28" s="131"/>
    </row>
    <row r="29" spans="1:256" ht="15.75" customHeight="1" x14ac:dyDescent="0.2">
      <c r="A29" s="127" t="s">
        <v>76</v>
      </c>
      <c r="B29" s="128">
        <f t="shared" si="9"/>
        <v>450.19999999999987</v>
      </c>
      <c r="C29" s="128">
        <f t="shared" si="20"/>
        <v>1200.6199999999999</v>
      </c>
      <c r="D29" s="129">
        <f>$D$10+D28+0.01</f>
        <v>554.50000000000023</v>
      </c>
      <c r="E29" s="129">
        <f t="shared" si="0"/>
        <v>1478.67</v>
      </c>
      <c r="F29" s="128">
        <f t="shared" si="10"/>
        <v>606.40000000000009</v>
      </c>
      <c r="G29" s="128">
        <f t="shared" si="1"/>
        <v>1617.0700000000002</v>
      </c>
      <c r="H29" s="129">
        <f>H28+32.96</f>
        <v>659.32999999999993</v>
      </c>
      <c r="I29" s="129">
        <f t="shared" si="2"/>
        <v>1758.23</v>
      </c>
      <c r="J29" s="128">
        <f>$J$10+J28</f>
        <v>741.97000000000025</v>
      </c>
      <c r="K29" s="128">
        <f t="shared" si="3"/>
        <v>1978.5700000000002</v>
      </c>
      <c r="L29" s="129">
        <f t="shared" si="21"/>
        <v>843.42999999999984</v>
      </c>
      <c r="M29" s="129">
        <f t="shared" si="4"/>
        <v>2249.14</v>
      </c>
      <c r="N29" s="128">
        <f t="shared" si="14"/>
        <v>1000.01</v>
      </c>
      <c r="O29" s="128">
        <f t="shared" si="5"/>
        <v>2666.69</v>
      </c>
      <c r="P29" s="130">
        <f t="shared" si="22"/>
        <v>1040.03</v>
      </c>
      <c r="Q29" s="129">
        <f t="shared" si="6"/>
        <v>2773.3999999999996</v>
      </c>
      <c r="R29" s="129">
        <f t="shared" si="19"/>
        <v>1199.82</v>
      </c>
      <c r="S29" s="129">
        <f t="shared" si="7"/>
        <v>3199.5299999999997</v>
      </c>
      <c r="T29" s="128">
        <f>$T$10+T28</f>
        <v>1472.2399999999993</v>
      </c>
      <c r="U29" s="128">
        <f t="shared" si="8"/>
        <v>3925.9899999999993</v>
      </c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  <c r="GH29" s="131"/>
      <c r="GI29" s="131"/>
      <c r="GJ29" s="131"/>
      <c r="GK29" s="131"/>
      <c r="GL29" s="131"/>
      <c r="GM29" s="131"/>
      <c r="GN29" s="131"/>
      <c r="GO29" s="131"/>
      <c r="GP29" s="131"/>
      <c r="GQ29" s="131"/>
      <c r="GR29" s="131"/>
      <c r="GS29" s="131"/>
      <c r="GT29" s="131"/>
      <c r="GU29" s="131"/>
      <c r="GV29" s="131"/>
      <c r="GW29" s="131"/>
      <c r="GX29" s="131"/>
      <c r="GY29" s="131"/>
      <c r="GZ29" s="131"/>
      <c r="HA29" s="131"/>
      <c r="HB29" s="131"/>
      <c r="HC29" s="131"/>
      <c r="HD29" s="131"/>
      <c r="HE29" s="131"/>
      <c r="HF29" s="131"/>
      <c r="HG29" s="131"/>
      <c r="HH29" s="131"/>
      <c r="HI29" s="131"/>
      <c r="HJ29" s="131"/>
      <c r="HK29" s="131"/>
      <c r="HL29" s="131"/>
      <c r="HM29" s="131"/>
      <c r="HN29" s="131"/>
      <c r="HO29" s="131"/>
      <c r="HP29" s="131"/>
      <c r="HQ29" s="131"/>
      <c r="HR29" s="131"/>
      <c r="HS29" s="131"/>
      <c r="HT29" s="131"/>
      <c r="HU29" s="131"/>
      <c r="HV29" s="131"/>
      <c r="HW29" s="131"/>
      <c r="HX29" s="131"/>
      <c r="HY29" s="131"/>
      <c r="HZ29" s="131"/>
      <c r="IA29" s="131"/>
      <c r="IB29" s="131"/>
      <c r="IC29" s="131"/>
      <c r="ID29" s="131"/>
      <c r="IE29" s="131"/>
      <c r="IF29" s="131"/>
      <c r="IG29" s="131"/>
      <c r="IH29" s="131"/>
      <c r="II29" s="131"/>
      <c r="IJ29" s="131"/>
      <c r="IK29" s="131"/>
      <c r="IL29" s="131"/>
      <c r="IM29" s="131"/>
      <c r="IN29" s="131"/>
      <c r="IO29" s="131"/>
      <c r="IP29" s="131"/>
      <c r="IQ29" s="131"/>
      <c r="IR29" s="131"/>
      <c r="IS29" s="131"/>
      <c r="IT29" s="131"/>
      <c r="IU29" s="131"/>
      <c r="IV29" s="131"/>
    </row>
    <row r="30" spans="1:256" ht="15.75" customHeight="1" x14ac:dyDescent="0.2">
      <c r="A30" s="127" t="s">
        <v>77</v>
      </c>
      <c r="B30" s="128">
        <f t="shared" si="9"/>
        <v>472.70999999999987</v>
      </c>
      <c r="C30" s="128">
        <f t="shared" si="20"/>
        <v>1223.1299999999999</v>
      </c>
      <c r="D30" s="129">
        <f>$D$10+D29</f>
        <v>582.22000000000025</v>
      </c>
      <c r="E30" s="129">
        <f t="shared" si="0"/>
        <v>1506.3900000000003</v>
      </c>
      <c r="F30" s="128">
        <f t="shared" si="10"/>
        <v>636.72000000000014</v>
      </c>
      <c r="G30" s="128">
        <f t="shared" si="1"/>
        <v>1647.39</v>
      </c>
      <c r="H30" s="129">
        <f>H29+32.96+0.01</f>
        <v>692.3</v>
      </c>
      <c r="I30" s="129">
        <f t="shared" si="2"/>
        <v>1791.2</v>
      </c>
      <c r="J30" s="128">
        <f>$J$10+J29</f>
        <v>779.07000000000028</v>
      </c>
      <c r="K30" s="128">
        <f t="shared" si="3"/>
        <v>2015.67</v>
      </c>
      <c r="L30" s="129">
        <f t="shared" si="21"/>
        <v>885.5999999999998</v>
      </c>
      <c r="M30" s="129">
        <f t="shared" si="4"/>
        <v>2291.31</v>
      </c>
      <c r="N30" s="128">
        <f t="shared" si="14"/>
        <v>1050.01</v>
      </c>
      <c r="O30" s="128">
        <f t="shared" si="5"/>
        <v>2716.69</v>
      </c>
      <c r="P30" s="130">
        <f t="shared" si="22"/>
        <v>1092.03</v>
      </c>
      <c r="Q30" s="129">
        <f t="shared" si="6"/>
        <v>2825.3999999999996</v>
      </c>
      <c r="R30" s="129">
        <f t="shared" si="19"/>
        <v>1259.81</v>
      </c>
      <c r="S30" s="129">
        <f t="shared" si="7"/>
        <v>3259.52</v>
      </c>
      <c r="T30" s="128">
        <f>$T$10+T29+0.01</f>
        <v>1545.8599999999992</v>
      </c>
      <c r="U30" s="128">
        <f t="shared" si="8"/>
        <v>3999.6099999999992</v>
      </c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1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  <c r="GH30" s="131"/>
      <c r="GI30" s="131"/>
      <c r="GJ30" s="131"/>
      <c r="GK30" s="131"/>
      <c r="GL30" s="131"/>
      <c r="GM30" s="131"/>
      <c r="GN30" s="131"/>
      <c r="GO30" s="131"/>
      <c r="GP30" s="131"/>
      <c r="GQ30" s="131"/>
      <c r="GR30" s="131"/>
      <c r="GS30" s="131"/>
      <c r="GT30" s="131"/>
      <c r="GU30" s="131"/>
      <c r="GV30" s="131"/>
      <c r="GW30" s="131"/>
      <c r="GX30" s="131"/>
      <c r="GY30" s="131"/>
      <c r="GZ30" s="131"/>
      <c r="HA30" s="131"/>
      <c r="HB30" s="131"/>
      <c r="HC30" s="131"/>
      <c r="HD30" s="131"/>
      <c r="HE30" s="131"/>
      <c r="HF30" s="131"/>
      <c r="HG30" s="131"/>
      <c r="HH30" s="131"/>
      <c r="HI30" s="131"/>
      <c r="HJ30" s="131"/>
      <c r="HK30" s="131"/>
      <c r="HL30" s="131"/>
      <c r="HM30" s="131"/>
      <c r="HN30" s="131"/>
      <c r="HO30" s="131"/>
      <c r="HP30" s="131"/>
      <c r="HQ30" s="131"/>
      <c r="HR30" s="131"/>
      <c r="HS30" s="131"/>
      <c r="HT30" s="131"/>
      <c r="HU30" s="131"/>
      <c r="HV30" s="131"/>
      <c r="HW30" s="131"/>
      <c r="HX30" s="131"/>
      <c r="HY30" s="131"/>
      <c r="HZ30" s="131"/>
      <c r="IA30" s="131"/>
      <c r="IB30" s="131"/>
      <c r="IC30" s="131"/>
      <c r="ID30" s="131"/>
      <c r="IE30" s="131"/>
      <c r="IF30" s="131"/>
      <c r="IG30" s="131"/>
      <c r="IH30" s="131"/>
      <c r="II30" s="131"/>
      <c r="IJ30" s="131"/>
      <c r="IK30" s="131"/>
      <c r="IL30" s="131"/>
      <c r="IM30" s="131"/>
      <c r="IN30" s="131"/>
      <c r="IO30" s="131"/>
      <c r="IP30" s="131"/>
      <c r="IQ30" s="131"/>
      <c r="IR30" s="131"/>
      <c r="IS30" s="131"/>
      <c r="IT30" s="131"/>
      <c r="IU30" s="131"/>
      <c r="IV30" s="131"/>
    </row>
    <row r="31" spans="1:256" ht="15.75" customHeight="1" x14ac:dyDescent="0.2">
      <c r="A31" s="127" t="s">
        <v>78</v>
      </c>
      <c r="B31" s="128">
        <f t="shared" si="9"/>
        <v>495.21999999999986</v>
      </c>
      <c r="C31" s="128">
        <f t="shared" si="20"/>
        <v>1245.6399999999999</v>
      </c>
      <c r="D31" s="129">
        <f>$D$10+D30+0.01</f>
        <v>609.95000000000027</v>
      </c>
      <c r="E31" s="129">
        <f t="shared" si="0"/>
        <v>1534.1200000000003</v>
      </c>
      <c r="F31" s="128">
        <f t="shared" si="10"/>
        <v>667.04000000000019</v>
      </c>
      <c r="G31" s="128">
        <f t="shared" si="1"/>
        <v>1677.71</v>
      </c>
      <c r="H31" s="129">
        <f>H30+32.96+0.01</f>
        <v>725.27</v>
      </c>
      <c r="I31" s="129">
        <f t="shared" si="2"/>
        <v>1824.17</v>
      </c>
      <c r="J31" s="128">
        <f>$J$10+J30-0.01</f>
        <v>816.16000000000031</v>
      </c>
      <c r="K31" s="128">
        <f t="shared" si="3"/>
        <v>2052.7600000000002</v>
      </c>
      <c r="L31" s="129">
        <f t="shared" si="21"/>
        <v>927.76999999999975</v>
      </c>
      <c r="M31" s="129">
        <f t="shared" si="4"/>
        <v>2333.4799999999996</v>
      </c>
      <c r="N31" s="128">
        <f t="shared" si="14"/>
        <v>1100.01</v>
      </c>
      <c r="O31" s="128">
        <f t="shared" si="5"/>
        <v>2766.69</v>
      </c>
      <c r="P31" s="130">
        <f t="shared" si="22"/>
        <v>1144.03</v>
      </c>
      <c r="Q31" s="129">
        <f t="shared" si="6"/>
        <v>2877.3999999999996</v>
      </c>
      <c r="R31" s="129">
        <f t="shared" si="19"/>
        <v>1319.8</v>
      </c>
      <c r="S31" s="129">
        <f t="shared" si="7"/>
        <v>3319.51</v>
      </c>
      <c r="T31" s="128">
        <f>$T$10+T30</f>
        <v>1619.4699999999991</v>
      </c>
      <c r="U31" s="128">
        <f t="shared" si="8"/>
        <v>4073.2199999999993</v>
      </c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  <c r="GH31" s="131"/>
      <c r="GI31" s="131"/>
      <c r="GJ31" s="131"/>
      <c r="GK31" s="131"/>
      <c r="GL31" s="131"/>
      <c r="GM31" s="131"/>
      <c r="GN31" s="131"/>
      <c r="GO31" s="131"/>
      <c r="GP31" s="131"/>
      <c r="GQ31" s="131"/>
      <c r="GR31" s="131"/>
      <c r="GS31" s="131"/>
      <c r="GT31" s="131"/>
      <c r="GU31" s="131"/>
      <c r="GV31" s="131"/>
      <c r="GW31" s="131"/>
      <c r="GX31" s="131"/>
      <c r="GY31" s="131"/>
      <c r="GZ31" s="131"/>
      <c r="HA31" s="131"/>
      <c r="HB31" s="131"/>
      <c r="HC31" s="131"/>
      <c r="HD31" s="131"/>
      <c r="HE31" s="131"/>
      <c r="HF31" s="131"/>
      <c r="HG31" s="131"/>
      <c r="HH31" s="131"/>
      <c r="HI31" s="131"/>
      <c r="HJ31" s="131"/>
      <c r="HK31" s="131"/>
      <c r="HL31" s="131"/>
      <c r="HM31" s="131"/>
      <c r="HN31" s="131"/>
      <c r="HO31" s="131"/>
      <c r="HP31" s="131"/>
      <c r="HQ31" s="131"/>
      <c r="HR31" s="131"/>
      <c r="HS31" s="131"/>
      <c r="HT31" s="131"/>
      <c r="HU31" s="131"/>
      <c r="HV31" s="131"/>
      <c r="HW31" s="131"/>
      <c r="HX31" s="131"/>
      <c r="HY31" s="131"/>
      <c r="HZ31" s="131"/>
      <c r="IA31" s="131"/>
      <c r="IB31" s="131"/>
      <c r="IC31" s="131"/>
      <c r="ID31" s="131"/>
      <c r="IE31" s="131"/>
      <c r="IF31" s="131"/>
      <c r="IG31" s="131"/>
      <c r="IH31" s="131"/>
      <c r="II31" s="131"/>
      <c r="IJ31" s="131"/>
      <c r="IK31" s="131"/>
      <c r="IL31" s="131"/>
      <c r="IM31" s="131"/>
      <c r="IN31" s="131"/>
      <c r="IO31" s="131"/>
      <c r="IP31" s="131"/>
      <c r="IQ31" s="131"/>
      <c r="IR31" s="131"/>
      <c r="IS31" s="131"/>
      <c r="IT31" s="131"/>
      <c r="IU31" s="131"/>
      <c r="IV31" s="131"/>
    </row>
    <row r="32" spans="1:256" ht="15.75" customHeight="1" x14ac:dyDescent="0.2">
      <c r="A32" s="127" t="s">
        <v>79</v>
      </c>
      <c r="B32" s="128">
        <f t="shared" si="9"/>
        <v>517.7299999999999</v>
      </c>
      <c r="C32" s="128">
        <f>$C$9+B32+0.04</f>
        <v>1268.1599999999999</v>
      </c>
      <c r="D32" s="129">
        <f>$D$10+D31</f>
        <v>637.6700000000003</v>
      </c>
      <c r="E32" s="129">
        <f t="shared" si="0"/>
        <v>1561.8400000000001</v>
      </c>
      <c r="F32" s="128">
        <f t="shared" si="10"/>
        <v>697.36000000000024</v>
      </c>
      <c r="G32" s="128">
        <f t="shared" si="1"/>
        <v>1708.0300000000002</v>
      </c>
      <c r="H32" s="129">
        <f>H31+32.96</f>
        <v>758.23</v>
      </c>
      <c r="I32" s="129">
        <f t="shared" si="2"/>
        <v>1857.13</v>
      </c>
      <c r="J32" s="128">
        <f>$J$10+J31</f>
        <v>853.26000000000033</v>
      </c>
      <c r="K32" s="128">
        <f t="shared" si="3"/>
        <v>2089.86</v>
      </c>
      <c r="L32" s="129">
        <f t="shared" si="21"/>
        <v>969.93999999999971</v>
      </c>
      <c r="M32" s="129">
        <f t="shared" si="4"/>
        <v>2375.6499999999996</v>
      </c>
      <c r="N32" s="128">
        <f t="shared" si="14"/>
        <v>1150.01</v>
      </c>
      <c r="O32" s="128">
        <f t="shared" si="5"/>
        <v>2816.69</v>
      </c>
      <c r="P32" s="130">
        <f t="shared" si="22"/>
        <v>1196.03</v>
      </c>
      <c r="Q32" s="129">
        <f t="shared" si="6"/>
        <v>2929.3999999999996</v>
      </c>
      <c r="R32" s="129">
        <f t="shared" si="19"/>
        <v>1379.79</v>
      </c>
      <c r="S32" s="129">
        <f t="shared" si="7"/>
        <v>3379.5</v>
      </c>
      <c r="T32" s="128">
        <f>$T$10+T31</f>
        <v>1693.079999999999</v>
      </c>
      <c r="U32" s="128">
        <f t="shared" si="8"/>
        <v>4146.829999999999</v>
      </c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31"/>
      <c r="FY32" s="131"/>
      <c r="FZ32" s="131"/>
      <c r="GA32" s="131"/>
      <c r="GB32" s="131"/>
      <c r="GC32" s="131"/>
      <c r="GD32" s="131"/>
      <c r="GE32" s="131"/>
      <c r="GF32" s="131"/>
      <c r="GG32" s="131"/>
      <c r="GH32" s="131"/>
      <c r="GI32" s="131"/>
      <c r="GJ32" s="131"/>
      <c r="GK32" s="131"/>
      <c r="GL32" s="131"/>
      <c r="GM32" s="131"/>
      <c r="GN32" s="131"/>
      <c r="GO32" s="131"/>
      <c r="GP32" s="131"/>
      <c r="GQ32" s="131"/>
      <c r="GR32" s="131"/>
      <c r="GS32" s="131"/>
      <c r="GT32" s="131"/>
      <c r="GU32" s="131"/>
      <c r="GV32" s="131"/>
      <c r="GW32" s="131"/>
      <c r="GX32" s="131"/>
      <c r="GY32" s="131"/>
      <c r="GZ32" s="131"/>
      <c r="HA32" s="131"/>
      <c r="HB32" s="131"/>
      <c r="HC32" s="131"/>
      <c r="HD32" s="131"/>
      <c r="HE32" s="131"/>
      <c r="HF32" s="131"/>
      <c r="HG32" s="131"/>
      <c r="HH32" s="131"/>
      <c r="HI32" s="131"/>
      <c r="HJ32" s="131"/>
      <c r="HK32" s="131"/>
      <c r="HL32" s="131"/>
      <c r="HM32" s="131"/>
      <c r="HN32" s="131"/>
      <c r="HO32" s="131"/>
      <c r="HP32" s="131"/>
      <c r="HQ32" s="131"/>
      <c r="HR32" s="131"/>
      <c r="HS32" s="131"/>
      <c r="HT32" s="131"/>
      <c r="HU32" s="131"/>
      <c r="HV32" s="131"/>
      <c r="HW32" s="131"/>
      <c r="HX32" s="131"/>
      <c r="HY32" s="131"/>
      <c r="HZ32" s="131"/>
      <c r="IA32" s="131"/>
      <c r="IB32" s="131"/>
      <c r="IC32" s="131"/>
      <c r="ID32" s="131"/>
      <c r="IE32" s="131"/>
      <c r="IF32" s="131"/>
      <c r="IG32" s="131"/>
      <c r="IH32" s="131"/>
      <c r="II32" s="131"/>
      <c r="IJ32" s="131"/>
      <c r="IK32" s="131"/>
      <c r="IL32" s="131"/>
      <c r="IM32" s="131"/>
      <c r="IN32" s="131"/>
      <c r="IO32" s="131"/>
      <c r="IP32" s="131"/>
      <c r="IQ32" s="131"/>
      <c r="IR32" s="131"/>
      <c r="IS32" s="131"/>
      <c r="IT32" s="131"/>
      <c r="IU32" s="131"/>
      <c r="IV32" s="131"/>
    </row>
    <row r="33" spans="1:256" ht="15.75" customHeight="1" x14ac:dyDescent="0.2">
      <c r="A33" s="127" t="s">
        <v>80</v>
      </c>
      <c r="B33" s="128">
        <f t="shared" si="9"/>
        <v>540.2399999999999</v>
      </c>
      <c r="C33" s="128">
        <f>$C$9+B33+0.04</f>
        <v>1290.6699999999998</v>
      </c>
      <c r="D33" s="129">
        <f>$D$10+D32+0.01</f>
        <v>665.40000000000032</v>
      </c>
      <c r="E33" s="129">
        <f t="shared" si="0"/>
        <v>1589.5700000000002</v>
      </c>
      <c r="F33" s="128">
        <f t="shared" si="10"/>
        <v>727.68000000000029</v>
      </c>
      <c r="G33" s="128">
        <f t="shared" si="1"/>
        <v>1738.3500000000004</v>
      </c>
      <c r="H33" s="129">
        <f>H32+32.96+0.01</f>
        <v>791.2</v>
      </c>
      <c r="I33" s="129">
        <f t="shared" si="2"/>
        <v>1890.1000000000001</v>
      </c>
      <c r="J33" s="128">
        <f>$J$10+J32</f>
        <v>890.36000000000035</v>
      </c>
      <c r="K33" s="128">
        <f t="shared" si="3"/>
        <v>2126.96</v>
      </c>
      <c r="L33" s="129">
        <f t="shared" si="21"/>
        <v>1012.1099999999997</v>
      </c>
      <c r="M33" s="129">
        <f t="shared" si="4"/>
        <v>2417.8199999999997</v>
      </c>
      <c r="N33" s="128">
        <f t="shared" si="14"/>
        <v>1200.01</v>
      </c>
      <c r="O33" s="128">
        <f t="shared" si="5"/>
        <v>2866.69</v>
      </c>
      <c r="P33" s="130">
        <f t="shared" si="22"/>
        <v>1248.03</v>
      </c>
      <c r="Q33" s="129">
        <f t="shared" si="6"/>
        <v>2981.3999999999996</v>
      </c>
      <c r="R33" s="129">
        <f>$R$10+R32+0.01</f>
        <v>1439.79</v>
      </c>
      <c r="S33" s="129">
        <f t="shared" si="7"/>
        <v>3439.5</v>
      </c>
      <c r="T33" s="128">
        <f>$T$10+T32</f>
        <v>1766.6899999999989</v>
      </c>
      <c r="U33" s="128">
        <f t="shared" si="8"/>
        <v>4220.4399999999987</v>
      </c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1"/>
      <c r="GM33" s="131"/>
      <c r="GN33" s="131"/>
      <c r="GO33" s="131"/>
      <c r="GP33" s="131"/>
      <c r="GQ33" s="131"/>
      <c r="GR33" s="131"/>
      <c r="GS33" s="131"/>
      <c r="GT33" s="131"/>
      <c r="GU33" s="131"/>
      <c r="GV33" s="131"/>
      <c r="GW33" s="131"/>
      <c r="GX33" s="131"/>
      <c r="GY33" s="131"/>
      <c r="GZ33" s="131"/>
      <c r="HA33" s="131"/>
      <c r="HB33" s="131"/>
      <c r="HC33" s="131"/>
      <c r="HD33" s="131"/>
      <c r="HE33" s="131"/>
      <c r="HF33" s="131"/>
      <c r="HG33" s="131"/>
      <c r="HH33" s="131"/>
      <c r="HI33" s="131"/>
      <c r="HJ33" s="131"/>
      <c r="HK33" s="131"/>
      <c r="HL33" s="131"/>
      <c r="HM33" s="131"/>
      <c r="HN33" s="131"/>
      <c r="HO33" s="131"/>
      <c r="HP33" s="131"/>
      <c r="HQ33" s="131"/>
      <c r="HR33" s="131"/>
      <c r="HS33" s="131"/>
      <c r="HT33" s="131"/>
      <c r="HU33" s="131"/>
      <c r="HV33" s="131"/>
      <c r="HW33" s="131"/>
      <c r="HX33" s="131"/>
      <c r="HY33" s="131"/>
      <c r="HZ33" s="131"/>
      <c r="IA33" s="131"/>
      <c r="IB33" s="131"/>
      <c r="IC33" s="131"/>
      <c r="ID33" s="131"/>
      <c r="IE33" s="131"/>
      <c r="IF33" s="131"/>
      <c r="IG33" s="131"/>
      <c r="IH33" s="131"/>
      <c r="II33" s="131"/>
      <c r="IJ33" s="131"/>
      <c r="IK33" s="131"/>
      <c r="IL33" s="131"/>
      <c r="IM33" s="131"/>
      <c r="IN33" s="131"/>
      <c r="IO33" s="131"/>
      <c r="IP33" s="131"/>
      <c r="IQ33" s="131"/>
      <c r="IR33" s="131"/>
      <c r="IS33" s="131"/>
      <c r="IT33" s="131"/>
      <c r="IU33" s="131"/>
      <c r="IV33" s="131"/>
    </row>
    <row r="34" spans="1:256" ht="15.75" customHeight="1" x14ac:dyDescent="0.2">
      <c r="A34" s="127" t="s">
        <v>81</v>
      </c>
      <c r="B34" s="128">
        <f t="shared" si="9"/>
        <v>562.74999999999989</v>
      </c>
      <c r="C34" s="128">
        <f>$C$9+B34+0.04</f>
        <v>1313.1799999999998</v>
      </c>
      <c r="D34" s="129">
        <f>$D$10+D33</f>
        <v>693.12000000000035</v>
      </c>
      <c r="E34" s="129">
        <f t="shared" si="0"/>
        <v>1617.2900000000004</v>
      </c>
      <c r="F34" s="128">
        <f t="shared" si="10"/>
        <v>758.00000000000034</v>
      </c>
      <c r="G34" s="128">
        <f t="shared" si="1"/>
        <v>1768.6700000000003</v>
      </c>
      <c r="H34" s="129">
        <f>H33+32.96+0.01</f>
        <v>824.17000000000007</v>
      </c>
      <c r="I34" s="129">
        <f t="shared" si="2"/>
        <v>1923.0700000000002</v>
      </c>
      <c r="J34" s="128">
        <f>$J$10+J33</f>
        <v>927.46000000000038</v>
      </c>
      <c r="K34" s="128">
        <f t="shared" si="3"/>
        <v>2164.0600000000004</v>
      </c>
      <c r="L34" s="129">
        <f>$L$10+L33+0.01</f>
        <v>1054.2899999999997</v>
      </c>
      <c r="M34" s="129">
        <f t="shared" si="4"/>
        <v>2460</v>
      </c>
      <c r="N34" s="128">
        <f t="shared" si="14"/>
        <v>1250.01</v>
      </c>
      <c r="O34" s="128">
        <f t="shared" si="5"/>
        <v>2916.69</v>
      </c>
      <c r="P34" s="130">
        <f t="shared" si="22"/>
        <v>1300.03</v>
      </c>
      <c r="Q34" s="129">
        <f t="shared" si="6"/>
        <v>3033.3999999999996</v>
      </c>
      <c r="R34" s="129">
        <f>$R$10+R33</f>
        <v>1499.78</v>
      </c>
      <c r="S34" s="129">
        <f t="shared" si="7"/>
        <v>3499.49</v>
      </c>
      <c r="T34" s="128">
        <f>$T$10+T33+0.01</f>
        <v>1840.3099999999988</v>
      </c>
      <c r="U34" s="128">
        <f t="shared" si="8"/>
        <v>4294.0599999999986</v>
      </c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1"/>
      <c r="IP34" s="131"/>
      <c r="IQ34" s="131"/>
      <c r="IR34" s="131"/>
      <c r="IS34" s="131"/>
      <c r="IT34" s="131"/>
      <c r="IU34" s="131"/>
      <c r="IV34" s="131"/>
    </row>
  </sheetData>
  <pageMargins left="0.59027777777777801" right="0.59027777777777801" top="0.78749999999999998" bottom="0.196527777777778" header="0.39374999999999999" footer="0.51180555555555496"/>
  <pageSetup paperSize="0" scale="0" firstPageNumber="0" orientation="portrait" usePrinterDefaults="0" horizontalDpi="0" verticalDpi="0" copies="0"/>
  <headerFooter>
    <oddHeader>&amp;C&amp;"Comic Sans MS,Fett"&amp;12Gehaltstabellen ab  01.07.2008 / Tabelle stipendiali dal 01.07.2008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zoomScaleNormal="100" workbookViewId="0"/>
  </sheetViews>
  <sheetFormatPr baseColWidth="10" defaultColWidth="9.140625" defaultRowHeight="12.75" x14ac:dyDescent="0.2"/>
  <cols>
    <col min="1" max="1" width="24.85546875"/>
    <col min="2" max="2" width="0" hidden="1"/>
    <col min="4" max="4" width="0" hidden="1"/>
    <col min="6" max="6" width="0" hidden="1"/>
    <col min="8" max="8" width="0" hidden="1"/>
    <col min="10" max="10" width="0" hidden="1"/>
    <col min="12" max="12" width="0" hidden="1"/>
    <col min="14" max="14" width="0" hidden="1"/>
    <col min="16" max="16" width="0" hidden="1"/>
    <col min="18" max="18" width="0" hidden="1"/>
    <col min="20" max="20" width="0" hidden="1"/>
    <col min="22" max="256" width="11.28515625"/>
    <col min="257" max="1025" width="11.5703125"/>
  </cols>
  <sheetData>
    <row r="1" spans="1:256" ht="15.75" customHeight="1" x14ac:dyDescent="0.2">
      <c r="A1" s="111"/>
      <c r="B1" s="112" t="s">
        <v>44</v>
      </c>
      <c r="C1" s="112" t="s">
        <v>44</v>
      </c>
      <c r="D1" s="113" t="s">
        <v>45</v>
      </c>
      <c r="E1" s="113" t="s">
        <v>45</v>
      </c>
      <c r="F1" s="112" t="s">
        <v>46</v>
      </c>
      <c r="G1" s="112" t="s">
        <v>46</v>
      </c>
      <c r="H1" s="113" t="s">
        <v>47</v>
      </c>
      <c r="I1" s="113" t="s">
        <v>47</v>
      </c>
      <c r="J1" s="112" t="s">
        <v>48</v>
      </c>
      <c r="K1" s="112" t="s">
        <v>48</v>
      </c>
      <c r="L1" s="113" t="s">
        <v>49</v>
      </c>
      <c r="M1" s="113" t="s">
        <v>49</v>
      </c>
      <c r="N1" s="112" t="s">
        <v>50</v>
      </c>
      <c r="O1" s="112" t="s">
        <v>50</v>
      </c>
      <c r="P1" s="114" t="s">
        <v>87</v>
      </c>
      <c r="Q1" s="113" t="s">
        <v>87</v>
      </c>
      <c r="R1" s="113" t="s">
        <v>51</v>
      </c>
      <c r="S1" s="113" t="s">
        <v>51</v>
      </c>
      <c r="T1" s="112" t="s">
        <v>52</v>
      </c>
      <c r="U1" s="112" t="s">
        <v>52</v>
      </c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  <c r="IU1" s="115"/>
      <c r="IV1" s="115"/>
    </row>
    <row r="2" spans="1:256" ht="15.75" customHeight="1" x14ac:dyDescent="0.25">
      <c r="A2" s="116" t="s">
        <v>10</v>
      </c>
      <c r="B2" s="117"/>
      <c r="C2" s="118"/>
      <c r="D2" s="119"/>
      <c r="E2" s="120"/>
      <c r="F2" s="117"/>
      <c r="G2" s="118"/>
      <c r="H2" s="119"/>
      <c r="I2" s="120"/>
      <c r="J2" s="117"/>
      <c r="K2" s="118"/>
      <c r="L2" s="119"/>
      <c r="M2" s="120"/>
      <c r="N2" s="117"/>
      <c r="O2" s="118"/>
      <c r="P2" s="118"/>
      <c r="Q2" s="120"/>
      <c r="R2" s="119"/>
      <c r="S2" s="119"/>
      <c r="T2" s="117"/>
      <c r="U2" s="117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  <c r="IT2" s="121"/>
      <c r="IU2" s="121"/>
      <c r="IV2" s="121"/>
    </row>
    <row r="3" spans="1:256" ht="15.75" customHeight="1" x14ac:dyDescent="0.25">
      <c r="A3" s="122" t="s">
        <v>11</v>
      </c>
      <c r="B3" s="123">
        <v>602.16999999999996</v>
      </c>
      <c r="C3" s="123">
        <f>B3</f>
        <v>602.16999999999996</v>
      </c>
      <c r="D3" s="124">
        <v>726.09</v>
      </c>
      <c r="E3" s="124">
        <f>D3</f>
        <v>726.09</v>
      </c>
      <c r="F3" s="123">
        <v>789</v>
      </c>
      <c r="G3" s="123">
        <f>F3</f>
        <v>789</v>
      </c>
      <c r="H3" s="124">
        <v>851.92</v>
      </c>
      <c r="I3" s="124">
        <f>H3</f>
        <v>851.92</v>
      </c>
      <c r="J3" s="123">
        <v>958.78</v>
      </c>
      <c r="K3" s="123">
        <f>J3</f>
        <v>958.78</v>
      </c>
      <c r="L3" s="124">
        <v>1069.99</v>
      </c>
      <c r="M3" s="124">
        <f>L3</f>
        <v>1069.99</v>
      </c>
      <c r="N3" s="123">
        <v>1268.9100000000001</v>
      </c>
      <c r="O3" s="123">
        <f>N3</f>
        <v>1268.9100000000001</v>
      </c>
      <c r="P3" s="125">
        <v>1332.35</v>
      </c>
      <c r="Q3" s="124">
        <f>P3</f>
        <v>1332.35</v>
      </c>
      <c r="R3" s="124">
        <v>1549.9</v>
      </c>
      <c r="S3" s="124">
        <f>R3</f>
        <v>1549.9</v>
      </c>
      <c r="T3" s="123">
        <v>1851.85</v>
      </c>
      <c r="U3" s="123">
        <f>T3</f>
        <v>1851.85</v>
      </c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  <c r="IR3" s="126"/>
      <c r="IS3" s="126"/>
      <c r="IT3" s="126"/>
      <c r="IU3" s="126"/>
      <c r="IV3" s="126"/>
    </row>
    <row r="4" spans="1:256" ht="15.75" customHeight="1" x14ac:dyDescent="0.2">
      <c r="A4" s="127" t="s">
        <v>53</v>
      </c>
      <c r="B4" s="128">
        <f>B3*0.06</f>
        <v>36.130199999999995</v>
      </c>
      <c r="C4" s="128">
        <f>C$3+B4</f>
        <v>638.3001999999999</v>
      </c>
      <c r="D4" s="129">
        <f>D3*0.06</f>
        <v>43.565399999999997</v>
      </c>
      <c r="E4" s="129">
        <f>E$3+D4</f>
        <v>769.65539999999999</v>
      </c>
      <c r="F4" s="128">
        <f>F3*0.06</f>
        <v>47.339999999999996</v>
      </c>
      <c r="G4" s="128">
        <f>G$3+F4</f>
        <v>836.34</v>
      </c>
      <c r="H4" s="129">
        <f>H3*0.06</f>
        <v>51.115199999999994</v>
      </c>
      <c r="I4" s="129">
        <f>I$3+H4</f>
        <v>903.03519999999992</v>
      </c>
      <c r="J4" s="128">
        <f>J3*0.06</f>
        <v>57.526799999999994</v>
      </c>
      <c r="K4" s="128">
        <f>K$3+J4</f>
        <v>1016.3068</v>
      </c>
      <c r="L4" s="129">
        <f>L3*0.06</f>
        <v>64.199399999999997</v>
      </c>
      <c r="M4" s="129">
        <f>M$3+L4</f>
        <v>1134.1894</v>
      </c>
      <c r="N4" s="128">
        <f>N3*0.06</f>
        <v>76.134600000000006</v>
      </c>
      <c r="O4" s="128">
        <f>O$3+N4</f>
        <v>1345.0446000000002</v>
      </c>
      <c r="P4" s="130">
        <f>P3*0.06</f>
        <v>79.940999999999988</v>
      </c>
      <c r="Q4" s="129">
        <f>Q$3+P4</f>
        <v>1412.2909999999999</v>
      </c>
      <c r="R4" s="129">
        <f>R3*0.06</f>
        <v>92.994</v>
      </c>
      <c r="S4" s="129">
        <f>S$3+R4</f>
        <v>1642.894</v>
      </c>
      <c r="T4" s="128">
        <f>T3*0.06</f>
        <v>111.11099999999999</v>
      </c>
      <c r="U4" s="128">
        <f>U$3+T4</f>
        <v>1962.9609999999998</v>
      </c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</row>
    <row r="5" spans="1:256" ht="15.75" customHeight="1" x14ac:dyDescent="0.2">
      <c r="A5" s="127" t="s">
        <v>54</v>
      </c>
      <c r="B5" s="128">
        <f>B4+B$4</f>
        <v>72.26039999999999</v>
      </c>
      <c r="C5" s="128">
        <f>C$3+B5</f>
        <v>674.43039999999996</v>
      </c>
      <c r="D5" s="129">
        <f>D4+D$4</f>
        <v>87.130799999999994</v>
      </c>
      <c r="E5" s="129">
        <f>E$3+D5</f>
        <v>813.22080000000005</v>
      </c>
      <c r="F5" s="128">
        <f>F4+F$4</f>
        <v>94.679999999999993</v>
      </c>
      <c r="G5" s="128">
        <f>G$3+F5</f>
        <v>883.68</v>
      </c>
      <c r="H5" s="129">
        <f>H4+H$4</f>
        <v>102.23039999999999</v>
      </c>
      <c r="I5" s="129">
        <f>I$3+H5</f>
        <v>954.15039999999999</v>
      </c>
      <c r="J5" s="128">
        <f>J4+J$4</f>
        <v>115.05359999999999</v>
      </c>
      <c r="K5" s="128">
        <f>K$3+J5</f>
        <v>1073.8335999999999</v>
      </c>
      <c r="L5" s="129">
        <f>L4+L$4</f>
        <v>128.39879999999999</v>
      </c>
      <c r="M5" s="129">
        <f>M$3+L5</f>
        <v>1198.3887999999999</v>
      </c>
      <c r="N5" s="128">
        <f>N4+N$4</f>
        <v>152.26920000000001</v>
      </c>
      <c r="O5" s="128">
        <f>O$3+N5</f>
        <v>1421.1792</v>
      </c>
      <c r="P5" s="130">
        <f>P4+P$4</f>
        <v>159.88199999999998</v>
      </c>
      <c r="Q5" s="129">
        <f>Q$3+P5</f>
        <v>1492.232</v>
      </c>
      <c r="R5" s="129">
        <f>R4+R$4</f>
        <v>185.988</v>
      </c>
      <c r="S5" s="129">
        <f>S$3+R5</f>
        <v>1735.8880000000001</v>
      </c>
      <c r="T5" s="128">
        <f>T4+T$4</f>
        <v>222.22199999999998</v>
      </c>
      <c r="U5" s="128">
        <f>U$3+T5</f>
        <v>2074.0720000000001</v>
      </c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  <c r="IO5" s="131"/>
      <c r="IP5" s="131"/>
      <c r="IQ5" s="131"/>
      <c r="IR5" s="131"/>
      <c r="IS5" s="131"/>
      <c r="IT5" s="131"/>
      <c r="IU5" s="131"/>
      <c r="IV5" s="131"/>
    </row>
    <row r="6" spans="1:256" ht="15.75" customHeight="1" x14ac:dyDescent="0.2">
      <c r="A6" s="127" t="s">
        <v>55</v>
      </c>
      <c r="B6" s="128">
        <f>B5+B$4</f>
        <v>108.39059999999998</v>
      </c>
      <c r="C6" s="128">
        <f>C$3+B6</f>
        <v>710.56059999999991</v>
      </c>
      <c r="D6" s="129">
        <f>D5+D$4</f>
        <v>130.69619999999998</v>
      </c>
      <c r="E6" s="129">
        <f>E$3+D6</f>
        <v>856.78620000000001</v>
      </c>
      <c r="F6" s="128">
        <f>F5+F$4</f>
        <v>142.01999999999998</v>
      </c>
      <c r="G6" s="128">
        <f>G$3+F6</f>
        <v>931.02</v>
      </c>
      <c r="H6" s="129">
        <f>H5+H$4</f>
        <v>153.34559999999999</v>
      </c>
      <c r="I6" s="129">
        <f>I$3+H6</f>
        <v>1005.2655999999999</v>
      </c>
      <c r="J6" s="128">
        <f>J5+J$4</f>
        <v>172.5804</v>
      </c>
      <c r="K6" s="128">
        <f>K$3+J6</f>
        <v>1131.3604</v>
      </c>
      <c r="L6" s="129">
        <f>L5+L$4</f>
        <v>192.59819999999999</v>
      </c>
      <c r="M6" s="129">
        <f>M$3+L6</f>
        <v>1262.5881999999999</v>
      </c>
      <c r="N6" s="128">
        <f>N5+N$4</f>
        <v>228.40380000000002</v>
      </c>
      <c r="O6" s="128">
        <f>O$3+N6</f>
        <v>1497.3138000000001</v>
      </c>
      <c r="P6" s="130">
        <f>P5+P$4</f>
        <v>239.82299999999998</v>
      </c>
      <c r="Q6" s="129">
        <f>Q$3+P6</f>
        <v>1572.1729999999998</v>
      </c>
      <c r="R6" s="129">
        <f>R5+R$4</f>
        <v>278.98199999999997</v>
      </c>
      <c r="S6" s="129">
        <f>S$3+R6</f>
        <v>1828.8820000000001</v>
      </c>
      <c r="T6" s="128">
        <f>T5+T$4</f>
        <v>333.33299999999997</v>
      </c>
      <c r="U6" s="128">
        <f>U$3+T6</f>
        <v>2185.183</v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  <c r="IK6" s="131"/>
      <c r="IL6" s="131"/>
      <c r="IM6" s="131"/>
      <c r="IN6" s="131"/>
      <c r="IO6" s="131"/>
      <c r="IP6" s="131"/>
      <c r="IQ6" s="131"/>
      <c r="IR6" s="131"/>
      <c r="IS6" s="131"/>
      <c r="IT6" s="131"/>
      <c r="IU6" s="131"/>
      <c r="IV6" s="131"/>
    </row>
    <row r="7" spans="1:256" ht="15.75" customHeight="1" x14ac:dyDescent="0.2">
      <c r="A7" s="132"/>
      <c r="B7" s="133"/>
      <c r="C7" s="133"/>
      <c r="D7" s="134"/>
      <c r="E7" s="134"/>
      <c r="F7" s="133"/>
      <c r="G7" s="133"/>
      <c r="H7" s="134"/>
      <c r="I7" s="134"/>
      <c r="J7" s="133"/>
      <c r="K7" s="133"/>
      <c r="L7" s="134"/>
      <c r="M7" s="134"/>
      <c r="N7" s="133"/>
      <c r="O7" s="133"/>
      <c r="P7" s="135"/>
      <c r="Q7" s="134"/>
      <c r="R7" s="134"/>
      <c r="S7" s="134"/>
      <c r="T7" s="133"/>
      <c r="U7" s="133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1"/>
    </row>
    <row r="8" spans="1:256" ht="15.75" customHeight="1" x14ac:dyDescent="0.2">
      <c r="A8" s="136" t="s">
        <v>56</v>
      </c>
      <c r="B8" s="137"/>
      <c r="C8" s="137"/>
      <c r="D8" s="138"/>
      <c r="E8" s="138"/>
      <c r="F8" s="137"/>
      <c r="G8" s="137"/>
      <c r="H8" s="138"/>
      <c r="I8" s="138"/>
      <c r="J8" s="137"/>
      <c r="K8" s="137"/>
      <c r="L8" s="138"/>
      <c r="M8" s="138"/>
      <c r="N8" s="137"/>
      <c r="O8" s="137"/>
      <c r="P8" s="139"/>
      <c r="Q8" s="138"/>
      <c r="R8" s="138"/>
      <c r="S8" s="138"/>
      <c r="T8" s="137"/>
      <c r="U8" s="137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  <c r="IV8" s="121"/>
    </row>
    <row r="9" spans="1:256" ht="15.75" customHeight="1" x14ac:dyDescent="0.25">
      <c r="A9" s="122" t="s">
        <v>11</v>
      </c>
      <c r="B9" s="123">
        <v>754.89</v>
      </c>
      <c r="C9" s="123">
        <f>B9</f>
        <v>754.89</v>
      </c>
      <c r="D9" s="124">
        <v>929.71</v>
      </c>
      <c r="E9" s="124">
        <f>D9</f>
        <v>929.71</v>
      </c>
      <c r="F9" s="123">
        <v>1016.73</v>
      </c>
      <c r="G9" s="123">
        <f>F9</f>
        <v>1016.73</v>
      </c>
      <c r="H9" s="124">
        <v>1105.49</v>
      </c>
      <c r="I9" s="124">
        <f>H9</f>
        <v>1105.49</v>
      </c>
      <c r="J9" s="123">
        <v>1244.02</v>
      </c>
      <c r="K9" s="123">
        <f>J9</f>
        <v>1244.02</v>
      </c>
      <c r="L9" s="124">
        <v>1414.15</v>
      </c>
      <c r="M9" s="124">
        <f>L9</f>
        <v>1414.15</v>
      </c>
      <c r="N9" s="123">
        <v>1676.68</v>
      </c>
      <c r="O9" s="123">
        <f>N9</f>
        <v>1676.68</v>
      </c>
      <c r="P9" s="125">
        <v>1743.77</v>
      </c>
      <c r="Q9" s="124">
        <f>P9</f>
        <v>1743.77</v>
      </c>
      <c r="R9" s="124">
        <v>2011.7</v>
      </c>
      <c r="S9" s="124">
        <f>R9</f>
        <v>2011.7</v>
      </c>
      <c r="T9" s="123">
        <v>2468.4699999999998</v>
      </c>
      <c r="U9" s="123">
        <f>T9</f>
        <v>2468.4699999999998</v>
      </c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</row>
    <row r="10" spans="1:256" ht="15.75" customHeight="1" x14ac:dyDescent="0.2">
      <c r="A10" s="127" t="s">
        <v>57</v>
      </c>
      <c r="B10" s="128">
        <f>B9*0.03</f>
        <v>22.646699999999999</v>
      </c>
      <c r="C10" s="128">
        <f t="shared" ref="C10:C34" si="0">C$9+B10</f>
        <v>777.5367</v>
      </c>
      <c r="D10" s="129">
        <f>D9*0.03</f>
        <v>27.891300000000001</v>
      </c>
      <c r="E10" s="129">
        <f t="shared" ref="E10:E34" si="1">$E$9+D10</f>
        <v>957.60130000000004</v>
      </c>
      <c r="F10" s="128">
        <f>F9*0.03</f>
        <v>30.501899999999999</v>
      </c>
      <c r="G10" s="128">
        <f t="shared" ref="G10:G34" si="2">$G$9+F10</f>
        <v>1047.2319</v>
      </c>
      <c r="H10" s="129">
        <f>H9*0.03</f>
        <v>33.164699999999996</v>
      </c>
      <c r="I10" s="129">
        <f t="shared" ref="I10:I34" si="3">$I$9+H10</f>
        <v>1138.6547</v>
      </c>
      <c r="J10" s="128">
        <f>J9*0.03</f>
        <v>37.320599999999999</v>
      </c>
      <c r="K10" s="128">
        <f t="shared" ref="K10:K34" si="4">$K$9+J10</f>
        <v>1281.3406</v>
      </c>
      <c r="L10" s="129">
        <f>L9*0.03</f>
        <v>42.424500000000002</v>
      </c>
      <c r="M10" s="129">
        <f t="shared" ref="M10:M34" si="5">$M$9+L10</f>
        <v>1456.5745000000002</v>
      </c>
      <c r="N10" s="128">
        <f>N9*0.03</f>
        <v>50.300400000000003</v>
      </c>
      <c r="O10" s="128">
        <f t="shared" ref="O10:O34" si="6">$O$9+N10</f>
        <v>1726.9804000000001</v>
      </c>
      <c r="P10" s="130">
        <f>P9*0.03</f>
        <v>52.313099999999999</v>
      </c>
      <c r="Q10" s="129">
        <f t="shared" ref="Q10:Q34" si="7">$Q$9+P10</f>
        <v>1796.0831000000001</v>
      </c>
      <c r="R10" s="129">
        <f>R9*0.03</f>
        <v>60.350999999999999</v>
      </c>
      <c r="S10" s="129">
        <f t="shared" ref="S10:S34" si="8">$S$9+R10</f>
        <v>2072.0509999999999</v>
      </c>
      <c r="T10" s="128">
        <f>T9*0.03</f>
        <v>74.054099999999991</v>
      </c>
      <c r="U10" s="128">
        <f t="shared" ref="U10:U34" si="9">$U$9+T10</f>
        <v>2542.5240999999996</v>
      </c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</row>
    <row r="11" spans="1:256" ht="15.75" customHeight="1" x14ac:dyDescent="0.2">
      <c r="A11" s="127" t="s">
        <v>58</v>
      </c>
      <c r="B11" s="128">
        <f t="shared" ref="B11:B34" si="10">B$10+B10</f>
        <v>45.293399999999998</v>
      </c>
      <c r="C11" s="128">
        <f t="shared" si="0"/>
        <v>800.18340000000001</v>
      </c>
      <c r="D11" s="129">
        <f t="shared" ref="D11:D34" si="11">D$10+D10</f>
        <v>55.782600000000002</v>
      </c>
      <c r="E11" s="129">
        <f t="shared" si="1"/>
        <v>985.49260000000004</v>
      </c>
      <c r="F11" s="128">
        <f t="shared" ref="F11:F34" si="12">F$10+F10</f>
        <v>61.003799999999998</v>
      </c>
      <c r="G11" s="128">
        <f t="shared" si="2"/>
        <v>1077.7338</v>
      </c>
      <c r="H11" s="129">
        <f t="shared" ref="H11:H34" si="13">H$10+H10</f>
        <v>66.329399999999993</v>
      </c>
      <c r="I11" s="129">
        <f t="shared" si="3"/>
        <v>1171.8194000000001</v>
      </c>
      <c r="J11" s="128">
        <f t="shared" ref="J11:J34" si="14">J$10+J10</f>
        <v>74.641199999999998</v>
      </c>
      <c r="K11" s="128">
        <f t="shared" si="4"/>
        <v>1318.6612</v>
      </c>
      <c r="L11" s="129">
        <f t="shared" ref="L11:L34" si="15">L$10+L10</f>
        <v>84.849000000000004</v>
      </c>
      <c r="M11" s="129">
        <f t="shared" si="5"/>
        <v>1498.999</v>
      </c>
      <c r="N11" s="128">
        <f t="shared" ref="N11:N34" si="16">N$10+N10</f>
        <v>100.60080000000001</v>
      </c>
      <c r="O11" s="128">
        <f t="shared" si="6"/>
        <v>1777.2808</v>
      </c>
      <c r="P11" s="130">
        <f t="shared" ref="P11:P34" si="17">P$10+P10</f>
        <v>104.6262</v>
      </c>
      <c r="Q11" s="129">
        <f t="shared" si="7"/>
        <v>1848.3961999999999</v>
      </c>
      <c r="R11" s="129">
        <f t="shared" ref="R11:R34" si="18">R$10+R10</f>
        <v>120.702</v>
      </c>
      <c r="S11" s="129">
        <f t="shared" si="8"/>
        <v>2132.402</v>
      </c>
      <c r="T11" s="128">
        <f t="shared" ref="T11:T34" si="19">T$10+T10</f>
        <v>148.10819999999998</v>
      </c>
      <c r="U11" s="128">
        <f t="shared" si="9"/>
        <v>2616.5781999999999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  <c r="IT11" s="131"/>
      <c r="IU11" s="131"/>
      <c r="IV11" s="131"/>
    </row>
    <row r="12" spans="1:256" ht="15.75" customHeight="1" x14ac:dyDescent="0.2">
      <c r="A12" s="127" t="s">
        <v>59</v>
      </c>
      <c r="B12" s="128">
        <f t="shared" si="10"/>
        <v>67.940100000000001</v>
      </c>
      <c r="C12" s="128">
        <f t="shared" si="0"/>
        <v>822.83010000000002</v>
      </c>
      <c r="D12" s="129">
        <f t="shared" si="11"/>
        <v>83.673900000000003</v>
      </c>
      <c r="E12" s="129">
        <f t="shared" si="1"/>
        <v>1013.3839</v>
      </c>
      <c r="F12" s="128">
        <f t="shared" si="12"/>
        <v>91.50569999999999</v>
      </c>
      <c r="G12" s="128">
        <f t="shared" si="2"/>
        <v>1108.2357</v>
      </c>
      <c r="H12" s="129">
        <f t="shared" si="13"/>
        <v>99.494099999999989</v>
      </c>
      <c r="I12" s="129">
        <f t="shared" si="3"/>
        <v>1204.9840999999999</v>
      </c>
      <c r="J12" s="128">
        <f t="shared" si="14"/>
        <v>111.9618</v>
      </c>
      <c r="K12" s="128">
        <f t="shared" si="4"/>
        <v>1355.9818</v>
      </c>
      <c r="L12" s="129">
        <f t="shared" si="15"/>
        <v>127.27350000000001</v>
      </c>
      <c r="M12" s="129">
        <f t="shared" si="5"/>
        <v>1541.4235000000001</v>
      </c>
      <c r="N12" s="128">
        <f t="shared" si="16"/>
        <v>150.90120000000002</v>
      </c>
      <c r="O12" s="128">
        <f t="shared" si="6"/>
        <v>1827.5812000000001</v>
      </c>
      <c r="P12" s="130">
        <f t="shared" si="17"/>
        <v>156.9393</v>
      </c>
      <c r="Q12" s="129">
        <f t="shared" si="7"/>
        <v>1900.7093</v>
      </c>
      <c r="R12" s="129">
        <f t="shared" si="18"/>
        <v>181.053</v>
      </c>
      <c r="S12" s="129">
        <f t="shared" si="8"/>
        <v>2192.7530000000002</v>
      </c>
      <c r="T12" s="128">
        <f t="shared" si="19"/>
        <v>222.16229999999996</v>
      </c>
      <c r="U12" s="128">
        <f t="shared" si="9"/>
        <v>2690.6322999999998</v>
      </c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</row>
    <row r="13" spans="1:256" ht="15.75" customHeight="1" x14ac:dyDescent="0.2">
      <c r="A13" s="127" t="s">
        <v>60</v>
      </c>
      <c r="B13" s="128">
        <f t="shared" si="10"/>
        <v>90.586799999999997</v>
      </c>
      <c r="C13" s="128">
        <f t="shared" si="0"/>
        <v>845.47680000000003</v>
      </c>
      <c r="D13" s="129">
        <f t="shared" si="11"/>
        <v>111.5652</v>
      </c>
      <c r="E13" s="129">
        <f t="shared" si="1"/>
        <v>1041.2752</v>
      </c>
      <c r="F13" s="128">
        <f t="shared" si="12"/>
        <v>122.0076</v>
      </c>
      <c r="G13" s="128">
        <f t="shared" si="2"/>
        <v>1138.7375999999999</v>
      </c>
      <c r="H13" s="129">
        <f t="shared" si="13"/>
        <v>132.65879999999999</v>
      </c>
      <c r="I13" s="129">
        <f t="shared" si="3"/>
        <v>1238.1487999999999</v>
      </c>
      <c r="J13" s="128">
        <f t="shared" si="14"/>
        <v>149.2824</v>
      </c>
      <c r="K13" s="128">
        <f t="shared" si="4"/>
        <v>1393.3024</v>
      </c>
      <c r="L13" s="129">
        <f t="shared" si="15"/>
        <v>169.69800000000001</v>
      </c>
      <c r="M13" s="129">
        <f t="shared" si="5"/>
        <v>1583.8480000000002</v>
      </c>
      <c r="N13" s="128">
        <f t="shared" si="16"/>
        <v>201.20160000000001</v>
      </c>
      <c r="O13" s="128">
        <f t="shared" si="6"/>
        <v>1877.8816000000002</v>
      </c>
      <c r="P13" s="130">
        <f t="shared" si="17"/>
        <v>209.25239999999999</v>
      </c>
      <c r="Q13" s="129">
        <f t="shared" si="7"/>
        <v>1953.0224000000001</v>
      </c>
      <c r="R13" s="129">
        <f t="shared" si="18"/>
        <v>241.404</v>
      </c>
      <c r="S13" s="129">
        <f t="shared" si="8"/>
        <v>2253.1040000000003</v>
      </c>
      <c r="T13" s="128">
        <f t="shared" si="19"/>
        <v>296.21639999999996</v>
      </c>
      <c r="U13" s="128">
        <f t="shared" si="9"/>
        <v>2764.6863999999996</v>
      </c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</row>
    <row r="14" spans="1:256" ht="15.75" customHeight="1" x14ac:dyDescent="0.2">
      <c r="A14" s="127" t="s">
        <v>61</v>
      </c>
      <c r="B14" s="128">
        <f t="shared" si="10"/>
        <v>113.23349999999999</v>
      </c>
      <c r="C14" s="128">
        <f t="shared" si="0"/>
        <v>868.12349999999992</v>
      </c>
      <c r="D14" s="129">
        <f t="shared" si="11"/>
        <v>139.45650000000001</v>
      </c>
      <c r="E14" s="129">
        <f t="shared" si="1"/>
        <v>1069.1665</v>
      </c>
      <c r="F14" s="128">
        <f t="shared" si="12"/>
        <v>152.5095</v>
      </c>
      <c r="G14" s="128">
        <f t="shared" si="2"/>
        <v>1169.2395000000001</v>
      </c>
      <c r="H14" s="129">
        <f t="shared" si="13"/>
        <v>165.82349999999997</v>
      </c>
      <c r="I14" s="129">
        <f t="shared" si="3"/>
        <v>1271.3135</v>
      </c>
      <c r="J14" s="128">
        <f t="shared" si="14"/>
        <v>186.60300000000001</v>
      </c>
      <c r="K14" s="128">
        <f t="shared" si="4"/>
        <v>1430.623</v>
      </c>
      <c r="L14" s="129">
        <f t="shared" si="15"/>
        <v>212.1225</v>
      </c>
      <c r="M14" s="129">
        <f t="shared" si="5"/>
        <v>1626.2725</v>
      </c>
      <c r="N14" s="128">
        <f t="shared" si="16"/>
        <v>251.50200000000001</v>
      </c>
      <c r="O14" s="128">
        <f t="shared" si="6"/>
        <v>1928.182</v>
      </c>
      <c r="P14" s="130">
        <f t="shared" si="17"/>
        <v>261.56549999999999</v>
      </c>
      <c r="Q14" s="129">
        <f t="shared" si="7"/>
        <v>2005.3354999999999</v>
      </c>
      <c r="R14" s="129">
        <f t="shared" si="18"/>
        <v>301.755</v>
      </c>
      <c r="S14" s="129">
        <f t="shared" si="8"/>
        <v>2313.4549999999999</v>
      </c>
      <c r="T14" s="128">
        <f t="shared" si="19"/>
        <v>370.27049999999997</v>
      </c>
      <c r="U14" s="128">
        <f t="shared" si="9"/>
        <v>2838.7404999999999</v>
      </c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</row>
    <row r="15" spans="1:256" ht="15.75" customHeight="1" x14ac:dyDescent="0.2">
      <c r="A15" s="127" t="s">
        <v>62</v>
      </c>
      <c r="B15" s="128">
        <f t="shared" si="10"/>
        <v>135.8802</v>
      </c>
      <c r="C15" s="128">
        <f t="shared" si="0"/>
        <v>890.77019999999993</v>
      </c>
      <c r="D15" s="129">
        <f t="shared" si="11"/>
        <v>167.34780000000001</v>
      </c>
      <c r="E15" s="129">
        <f t="shared" si="1"/>
        <v>1097.0578</v>
      </c>
      <c r="F15" s="128">
        <f t="shared" si="12"/>
        <v>183.01140000000001</v>
      </c>
      <c r="G15" s="128">
        <f t="shared" si="2"/>
        <v>1199.7414000000001</v>
      </c>
      <c r="H15" s="129">
        <f t="shared" si="13"/>
        <v>198.98819999999995</v>
      </c>
      <c r="I15" s="129">
        <f t="shared" si="3"/>
        <v>1304.4782</v>
      </c>
      <c r="J15" s="128">
        <f t="shared" si="14"/>
        <v>223.92360000000002</v>
      </c>
      <c r="K15" s="128">
        <f t="shared" si="4"/>
        <v>1467.9436000000001</v>
      </c>
      <c r="L15" s="129">
        <f t="shared" si="15"/>
        <v>254.547</v>
      </c>
      <c r="M15" s="129">
        <f t="shared" si="5"/>
        <v>1668.6970000000001</v>
      </c>
      <c r="N15" s="128">
        <f t="shared" si="16"/>
        <v>301.80240000000003</v>
      </c>
      <c r="O15" s="128">
        <f t="shared" si="6"/>
        <v>1978.4824000000001</v>
      </c>
      <c r="P15" s="130">
        <f t="shared" si="17"/>
        <v>313.87860000000001</v>
      </c>
      <c r="Q15" s="129">
        <f t="shared" si="7"/>
        <v>2057.6486</v>
      </c>
      <c r="R15" s="129">
        <f t="shared" si="18"/>
        <v>362.10599999999999</v>
      </c>
      <c r="S15" s="129">
        <f t="shared" si="8"/>
        <v>2373.806</v>
      </c>
      <c r="T15" s="128">
        <f t="shared" si="19"/>
        <v>444.32459999999998</v>
      </c>
      <c r="U15" s="128">
        <f t="shared" si="9"/>
        <v>2912.7945999999997</v>
      </c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</row>
    <row r="16" spans="1:256" ht="15.75" customHeight="1" x14ac:dyDescent="0.2">
      <c r="A16" s="127" t="s">
        <v>63</v>
      </c>
      <c r="B16" s="128">
        <f t="shared" si="10"/>
        <v>158.52690000000001</v>
      </c>
      <c r="C16" s="128">
        <f t="shared" si="0"/>
        <v>913.41689999999994</v>
      </c>
      <c r="D16" s="129">
        <f t="shared" si="11"/>
        <v>195.23910000000001</v>
      </c>
      <c r="E16" s="129">
        <f t="shared" si="1"/>
        <v>1124.9491</v>
      </c>
      <c r="F16" s="128">
        <f t="shared" si="12"/>
        <v>213.51330000000002</v>
      </c>
      <c r="G16" s="128">
        <f t="shared" si="2"/>
        <v>1230.2433000000001</v>
      </c>
      <c r="H16" s="129">
        <f t="shared" si="13"/>
        <v>232.15289999999993</v>
      </c>
      <c r="I16" s="129">
        <f t="shared" si="3"/>
        <v>1337.6428999999998</v>
      </c>
      <c r="J16" s="128">
        <f t="shared" si="14"/>
        <v>261.24420000000003</v>
      </c>
      <c r="K16" s="128">
        <f t="shared" si="4"/>
        <v>1505.2642000000001</v>
      </c>
      <c r="L16" s="129">
        <f t="shared" si="15"/>
        <v>296.97149999999999</v>
      </c>
      <c r="M16" s="129">
        <f t="shared" si="5"/>
        <v>1711.1215000000002</v>
      </c>
      <c r="N16" s="128">
        <f t="shared" si="16"/>
        <v>352.10280000000006</v>
      </c>
      <c r="O16" s="128">
        <f t="shared" si="6"/>
        <v>2028.7828000000002</v>
      </c>
      <c r="P16" s="130">
        <f t="shared" si="17"/>
        <v>366.19170000000003</v>
      </c>
      <c r="Q16" s="129">
        <f t="shared" si="7"/>
        <v>2109.9616999999998</v>
      </c>
      <c r="R16" s="129">
        <f t="shared" si="18"/>
        <v>422.45699999999999</v>
      </c>
      <c r="S16" s="129">
        <f t="shared" si="8"/>
        <v>2434.1570000000002</v>
      </c>
      <c r="T16" s="128">
        <f t="shared" si="19"/>
        <v>518.37869999999998</v>
      </c>
      <c r="U16" s="128">
        <f t="shared" si="9"/>
        <v>2986.8486999999996</v>
      </c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</row>
    <row r="17" spans="1:256" ht="15.75" customHeight="1" x14ac:dyDescent="0.2">
      <c r="A17" s="127" t="s">
        <v>64</v>
      </c>
      <c r="B17" s="128">
        <f t="shared" si="10"/>
        <v>181.17360000000002</v>
      </c>
      <c r="C17" s="128">
        <f t="shared" si="0"/>
        <v>936.06359999999995</v>
      </c>
      <c r="D17" s="129">
        <f t="shared" si="11"/>
        <v>223.13040000000001</v>
      </c>
      <c r="E17" s="129">
        <f t="shared" si="1"/>
        <v>1152.8404</v>
      </c>
      <c r="F17" s="128">
        <f t="shared" si="12"/>
        <v>244.01520000000002</v>
      </c>
      <c r="G17" s="128">
        <f t="shared" si="2"/>
        <v>1260.7452000000001</v>
      </c>
      <c r="H17" s="129">
        <f t="shared" si="13"/>
        <v>265.31759999999991</v>
      </c>
      <c r="I17" s="129">
        <f t="shared" si="3"/>
        <v>1370.8075999999999</v>
      </c>
      <c r="J17" s="128">
        <f t="shared" si="14"/>
        <v>298.56480000000005</v>
      </c>
      <c r="K17" s="128">
        <f t="shared" si="4"/>
        <v>1542.5848000000001</v>
      </c>
      <c r="L17" s="129">
        <f t="shared" si="15"/>
        <v>339.39600000000002</v>
      </c>
      <c r="M17" s="129">
        <f t="shared" si="5"/>
        <v>1753.546</v>
      </c>
      <c r="N17" s="128">
        <f t="shared" si="16"/>
        <v>402.40320000000008</v>
      </c>
      <c r="O17" s="128">
        <f t="shared" si="6"/>
        <v>2079.0832</v>
      </c>
      <c r="P17" s="130">
        <f t="shared" si="17"/>
        <v>418.50480000000005</v>
      </c>
      <c r="Q17" s="129">
        <f t="shared" si="7"/>
        <v>2162.2748000000001</v>
      </c>
      <c r="R17" s="129">
        <f t="shared" si="18"/>
        <v>482.80799999999999</v>
      </c>
      <c r="S17" s="129">
        <f t="shared" si="8"/>
        <v>2494.5079999999998</v>
      </c>
      <c r="T17" s="128">
        <f t="shared" si="19"/>
        <v>592.43279999999993</v>
      </c>
      <c r="U17" s="128">
        <f t="shared" si="9"/>
        <v>3060.9027999999998</v>
      </c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</row>
    <row r="18" spans="1:256" ht="15.75" customHeight="1" x14ac:dyDescent="0.2">
      <c r="A18" s="127" t="s">
        <v>65</v>
      </c>
      <c r="B18" s="128">
        <f t="shared" si="10"/>
        <v>203.82030000000003</v>
      </c>
      <c r="C18" s="128">
        <f t="shared" si="0"/>
        <v>958.71029999999996</v>
      </c>
      <c r="D18" s="129">
        <f t="shared" si="11"/>
        <v>251.02170000000001</v>
      </c>
      <c r="E18" s="129">
        <f t="shared" si="1"/>
        <v>1180.7317</v>
      </c>
      <c r="F18" s="128">
        <f t="shared" si="12"/>
        <v>274.51710000000003</v>
      </c>
      <c r="G18" s="128">
        <f t="shared" si="2"/>
        <v>1291.2471</v>
      </c>
      <c r="H18" s="129">
        <f t="shared" si="13"/>
        <v>298.4822999999999</v>
      </c>
      <c r="I18" s="129">
        <f t="shared" si="3"/>
        <v>1403.9722999999999</v>
      </c>
      <c r="J18" s="128">
        <f t="shared" si="14"/>
        <v>335.88540000000006</v>
      </c>
      <c r="K18" s="128">
        <f t="shared" si="4"/>
        <v>1579.9054000000001</v>
      </c>
      <c r="L18" s="129">
        <f t="shared" si="15"/>
        <v>381.82050000000004</v>
      </c>
      <c r="M18" s="129">
        <f t="shared" si="5"/>
        <v>1795.9705000000001</v>
      </c>
      <c r="N18" s="128">
        <f t="shared" si="16"/>
        <v>452.70360000000011</v>
      </c>
      <c r="O18" s="128">
        <f t="shared" si="6"/>
        <v>2129.3836000000001</v>
      </c>
      <c r="P18" s="130">
        <f t="shared" si="17"/>
        <v>470.81790000000007</v>
      </c>
      <c r="Q18" s="129">
        <f t="shared" si="7"/>
        <v>2214.5879</v>
      </c>
      <c r="R18" s="129">
        <f t="shared" si="18"/>
        <v>543.15899999999999</v>
      </c>
      <c r="S18" s="129">
        <f t="shared" si="8"/>
        <v>2554.8589999999999</v>
      </c>
      <c r="T18" s="128">
        <f t="shared" si="19"/>
        <v>666.48689999999988</v>
      </c>
      <c r="U18" s="128">
        <f t="shared" si="9"/>
        <v>3134.9568999999997</v>
      </c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31"/>
    </row>
    <row r="19" spans="1:256" ht="15.75" customHeight="1" x14ac:dyDescent="0.2">
      <c r="A19" s="127" t="s">
        <v>66</v>
      </c>
      <c r="B19" s="128">
        <f t="shared" si="10"/>
        <v>226.46700000000004</v>
      </c>
      <c r="C19" s="128">
        <f t="shared" si="0"/>
        <v>981.35699999999997</v>
      </c>
      <c r="D19" s="129">
        <f t="shared" si="11"/>
        <v>278.91300000000001</v>
      </c>
      <c r="E19" s="129">
        <f t="shared" si="1"/>
        <v>1208.623</v>
      </c>
      <c r="F19" s="128">
        <f t="shared" si="12"/>
        <v>305.01900000000001</v>
      </c>
      <c r="G19" s="128">
        <f t="shared" si="2"/>
        <v>1321.749</v>
      </c>
      <c r="H19" s="129">
        <f t="shared" si="13"/>
        <v>331.64699999999988</v>
      </c>
      <c r="I19" s="129">
        <f t="shared" si="3"/>
        <v>1437.1369999999999</v>
      </c>
      <c r="J19" s="128">
        <f t="shared" si="14"/>
        <v>373.20600000000007</v>
      </c>
      <c r="K19" s="128">
        <f t="shared" si="4"/>
        <v>1617.2260000000001</v>
      </c>
      <c r="L19" s="129">
        <f t="shared" si="15"/>
        <v>424.24500000000006</v>
      </c>
      <c r="M19" s="129">
        <f t="shared" si="5"/>
        <v>1838.3950000000002</v>
      </c>
      <c r="N19" s="128">
        <f t="shared" si="16"/>
        <v>503.00400000000013</v>
      </c>
      <c r="O19" s="128">
        <f t="shared" si="6"/>
        <v>2179.6840000000002</v>
      </c>
      <c r="P19" s="130">
        <f t="shared" si="17"/>
        <v>523.13100000000009</v>
      </c>
      <c r="Q19" s="129">
        <f t="shared" si="7"/>
        <v>2266.9009999999998</v>
      </c>
      <c r="R19" s="129">
        <f t="shared" si="18"/>
        <v>603.51</v>
      </c>
      <c r="S19" s="129">
        <f t="shared" si="8"/>
        <v>2615.21</v>
      </c>
      <c r="T19" s="128">
        <f t="shared" si="19"/>
        <v>740.54099999999983</v>
      </c>
      <c r="U19" s="128">
        <f t="shared" si="9"/>
        <v>3209.0109999999995</v>
      </c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31"/>
    </row>
    <row r="20" spans="1:256" ht="15.75" customHeight="1" x14ac:dyDescent="0.2">
      <c r="A20" s="127" t="s">
        <v>67</v>
      </c>
      <c r="B20" s="128">
        <f t="shared" si="10"/>
        <v>249.11370000000005</v>
      </c>
      <c r="C20" s="128">
        <f t="shared" si="0"/>
        <v>1004.0037</v>
      </c>
      <c r="D20" s="129">
        <f t="shared" si="11"/>
        <v>306.80430000000001</v>
      </c>
      <c r="E20" s="129">
        <f t="shared" si="1"/>
        <v>1236.5143</v>
      </c>
      <c r="F20" s="128">
        <f t="shared" si="12"/>
        <v>335.52089999999998</v>
      </c>
      <c r="G20" s="128">
        <f t="shared" si="2"/>
        <v>1352.2509</v>
      </c>
      <c r="H20" s="129">
        <f t="shared" si="13"/>
        <v>364.81169999999986</v>
      </c>
      <c r="I20" s="129">
        <f t="shared" si="3"/>
        <v>1470.3017</v>
      </c>
      <c r="J20" s="128">
        <f t="shared" si="14"/>
        <v>410.52660000000009</v>
      </c>
      <c r="K20" s="128">
        <f t="shared" si="4"/>
        <v>1654.5466000000001</v>
      </c>
      <c r="L20" s="129">
        <f t="shared" si="15"/>
        <v>466.66950000000008</v>
      </c>
      <c r="M20" s="129">
        <f t="shared" si="5"/>
        <v>1880.8195000000001</v>
      </c>
      <c r="N20" s="128">
        <f t="shared" si="16"/>
        <v>553.3044000000001</v>
      </c>
      <c r="O20" s="128">
        <f t="shared" si="6"/>
        <v>2229.9844000000003</v>
      </c>
      <c r="P20" s="130">
        <f t="shared" si="17"/>
        <v>575.44410000000005</v>
      </c>
      <c r="Q20" s="129">
        <f t="shared" si="7"/>
        <v>2319.2141000000001</v>
      </c>
      <c r="R20" s="129">
        <f t="shared" si="18"/>
        <v>663.86099999999999</v>
      </c>
      <c r="S20" s="129">
        <f t="shared" si="8"/>
        <v>2675.5610000000001</v>
      </c>
      <c r="T20" s="128">
        <f t="shared" si="19"/>
        <v>814.59509999999977</v>
      </c>
      <c r="U20" s="128">
        <f t="shared" si="9"/>
        <v>3283.0650999999998</v>
      </c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31"/>
    </row>
    <row r="21" spans="1:256" ht="15.75" customHeight="1" x14ac:dyDescent="0.2">
      <c r="A21" s="127" t="s">
        <v>68</v>
      </c>
      <c r="B21" s="128">
        <f t="shared" si="10"/>
        <v>271.76040000000006</v>
      </c>
      <c r="C21" s="128">
        <f t="shared" si="0"/>
        <v>1026.6504</v>
      </c>
      <c r="D21" s="129">
        <f t="shared" si="11"/>
        <v>334.69560000000001</v>
      </c>
      <c r="E21" s="129">
        <f t="shared" si="1"/>
        <v>1264.4056</v>
      </c>
      <c r="F21" s="128">
        <f t="shared" si="12"/>
        <v>366.02279999999996</v>
      </c>
      <c r="G21" s="128">
        <f t="shared" si="2"/>
        <v>1382.7528</v>
      </c>
      <c r="H21" s="129">
        <f t="shared" si="13"/>
        <v>397.97639999999984</v>
      </c>
      <c r="I21" s="129">
        <f t="shared" si="3"/>
        <v>1503.4663999999998</v>
      </c>
      <c r="J21" s="128">
        <f t="shared" si="14"/>
        <v>447.8472000000001</v>
      </c>
      <c r="K21" s="128">
        <f t="shared" si="4"/>
        <v>1691.8672000000001</v>
      </c>
      <c r="L21" s="129">
        <f t="shared" si="15"/>
        <v>509.09400000000011</v>
      </c>
      <c r="M21" s="129">
        <f t="shared" si="5"/>
        <v>1923.2440000000001</v>
      </c>
      <c r="N21" s="128">
        <f t="shared" si="16"/>
        <v>603.60480000000007</v>
      </c>
      <c r="O21" s="128">
        <f t="shared" si="6"/>
        <v>2280.2848000000004</v>
      </c>
      <c r="P21" s="130">
        <f t="shared" si="17"/>
        <v>627.75720000000001</v>
      </c>
      <c r="Q21" s="129">
        <f t="shared" si="7"/>
        <v>2371.5272</v>
      </c>
      <c r="R21" s="129">
        <f t="shared" si="18"/>
        <v>724.21199999999999</v>
      </c>
      <c r="S21" s="129">
        <f t="shared" si="8"/>
        <v>2735.9120000000003</v>
      </c>
      <c r="T21" s="128">
        <f t="shared" si="19"/>
        <v>888.64919999999972</v>
      </c>
      <c r="U21" s="128">
        <f t="shared" si="9"/>
        <v>3357.1191999999996</v>
      </c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31"/>
    </row>
    <row r="22" spans="1:256" ht="15.75" customHeight="1" x14ac:dyDescent="0.2">
      <c r="A22" s="127" t="s">
        <v>69</v>
      </c>
      <c r="B22" s="128">
        <f t="shared" si="10"/>
        <v>294.40710000000007</v>
      </c>
      <c r="C22" s="128">
        <f t="shared" si="0"/>
        <v>1049.2971</v>
      </c>
      <c r="D22" s="129">
        <f t="shared" si="11"/>
        <v>362.58690000000001</v>
      </c>
      <c r="E22" s="129">
        <f t="shared" si="1"/>
        <v>1292.2969000000001</v>
      </c>
      <c r="F22" s="128">
        <f t="shared" si="12"/>
        <v>396.52469999999994</v>
      </c>
      <c r="G22" s="128">
        <f t="shared" si="2"/>
        <v>1413.2547</v>
      </c>
      <c r="H22" s="129">
        <f t="shared" si="13"/>
        <v>431.14109999999982</v>
      </c>
      <c r="I22" s="129">
        <f t="shared" si="3"/>
        <v>1536.6310999999998</v>
      </c>
      <c r="J22" s="128">
        <f t="shared" si="14"/>
        <v>485.16780000000011</v>
      </c>
      <c r="K22" s="128">
        <f t="shared" si="4"/>
        <v>1729.1878000000002</v>
      </c>
      <c r="L22" s="129">
        <f t="shared" si="15"/>
        <v>551.51850000000013</v>
      </c>
      <c r="M22" s="129">
        <f t="shared" si="5"/>
        <v>1965.6685000000002</v>
      </c>
      <c r="N22" s="128">
        <f t="shared" si="16"/>
        <v>653.90520000000004</v>
      </c>
      <c r="O22" s="128">
        <f t="shared" si="6"/>
        <v>2330.5852</v>
      </c>
      <c r="P22" s="130">
        <f t="shared" si="17"/>
        <v>680.07029999999997</v>
      </c>
      <c r="Q22" s="129">
        <f t="shared" si="7"/>
        <v>2423.8402999999998</v>
      </c>
      <c r="R22" s="129">
        <f t="shared" si="18"/>
        <v>784.56299999999999</v>
      </c>
      <c r="S22" s="129">
        <f t="shared" si="8"/>
        <v>2796.2629999999999</v>
      </c>
      <c r="T22" s="128">
        <f t="shared" si="19"/>
        <v>962.70329999999967</v>
      </c>
      <c r="U22" s="128">
        <f t="shared" si="9"/>
        <v>3431.1732999999995</v>
      </c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  <c r="IH22" s="131"/>
      <c r="II22" s="131"/>
      <c r="IJ22" s="131"/>
      <c r="IK22" s="131"/>
      <c r="IL22" s="131"/>
      <c r="IM22" s="131"/>
      <c r="IN22" s="131"/>
      <c r="IO22" s="131"/>
      <c r="IP22" s="131"/>
      <c r="IQ22" s="131"/>
      <c r="IR22" s="131"/>
      <c r="IS22" s="131"/>
      <c r="IT22" s="131"/>
      <c r="IU22" s="131"/>
      <c r="IV22" s="131"/>
    </row>
    <row r="23" spans="1:256" ht="15.75" customHeight="1" x14ac:dyDescent="0.2">
      <c r="A23" s="127" t="s">
        <v>70</v>
      </c>
      <c r="B23" s="128">
        <f t="shared" si="10"/>
        <v>317.05380000000008</v>
      </c>
      <c r="C23" s="128">
        <f t="shared" si="0"/>
        <v>1071.9438</v>
      </c>
      <c r="D23" s="129">
        <f t="shared" si="11"/>
        <v>390.47820000000002</v>
      </c>
      <c r="E23" s="129">
        <f t="shared" si="1"/>
        <v>1320.1882000000001</v>
      </c>
      <c r="F23" s="128">
        <f t="shared" si="12"/>
        <v>427.02659999999992</v>
      </c>
      <c r="G23" s="128">
        <f t="shared" si="2"/>
        <v>1443.7565999999999</v>
      </c>
      <c r="H23" s="129">
        <f t="shared" si="13"/>
        <v>464.30579999999981</v>
      </c>
      <c r="I23" s="129">
        <f t="shared" si="3"/>
        <v>1569.7957999999999</v>
      </c>
      <c r="J23" s="128">
        <f t="shared" si="14"/>
        <v>522.48840000000007</v>
      </c>
      <c r="K23" s="128">
        <f t="shared" si="4"/>
        <v>1766.5084000000002</v>
      </c>
      <c r="L23" s="129">
        <f t="shared" si="15"/>
        <v>593.9430000000001</v>
      </c>
      <c r="M23" s="129">
        <f t="shared" si="5"/>
        <v>2008.0930000000003</v>
      </c>
      <c r="N23" s="128">
        <f t="shared" si="16"/>
        <v>704.2056</v>
      </c>
      <c r="O23" s="128">
        <f t="shared" si="6"/>
        <v>2380.8856000000001</v>
      </c>
      <c r="P23" s="130">
        <f t="shared" si="17"/>
        <v>732.38339999999994</v>
      </c>
      <c r="Q23" s="129">
        <f t="shared" si="7"/>
        <v>2476.1534000000001</v>
      </c>
      <c r="R23" s="129">
        <f t="shared" si="18"/>
        <v>844.91399999999999</v>
      </c>
      <c r="S23" s="129">
        <f t="shared" si="8"/>
        <v>2856.614</v>
      </c>
      <c r="T23" s="128">
        <f t="shared" si="19"/>
        <v>1036.7573999999997</v>
      </c>
      <c r="U23" s="128">
        <f t="shared" si="9"/>
        <v>3505.2273999999998</v>
      </c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1"/>
      <c r="HB23" s="131"/>
      <c r="HC23" s="131"/>
      <c r="HD23" s="131"/>
      <c r="HE23" s="131"/>
      <c r="HF23" s="131"/>
      <c r="HG23" s="131"/>
      <c r="HH23" s="131"/>
      <c r="HI23" s="131"/>
      <c r="HJ23" s="131"/>
      <c r="HK23" s="131"/>
      <c r="HL23" s="131"/>
      <c r="HM23" s="131"/>
      <c r="HN23" s="131"/>
      <c r="HO23" s="131"/>
      <c r="HP23" s="131"/>
      <c r="HQ23" s="131"/>
      <c r="HR23" s="131"/>
      <c r="HS23" s="131"/>
      <c r="HT23" s="131"/>
      <c r="HU23" s="131"/>
      <c r="HV23" s="131"/>
      <c r="HW23" s="131"/>
      <c r="HX23" s="131"/>
      <c r="HY23" s="131"/>
      <c r="HZ23" s="131"/>
      <c r="IA23" s="131"/>
      <c r="IB23" s="131"/>
      <c r="IC23" s="131"/>
      <c r="ID23" s="131"/>
      <c r="IE23" s="131"/>
      <c r="IF23" s="131"/>
      <c r="IG23" s="131"/>
      <c r="IH23" s="131"/>
      <c r="II23" s="131"/>
      <c r="IJ23" s="131"/>
      <c r="IK23" s="131"/>
      <c r="IL23" s="131"/>
      <c r="IM23" s="131"/>
      <c r="IN23" s="131"/>
      <c r="IO23" s="131"/>
      <c r="IP23" s="131"/>
      <c r="IQ23" s="131"/>
      <c r="IR23" s="131"/>
      <c r="IS23" s="131"/>
      <c r="IT23" s="131"/>
      <c r="IU23" s="131"/>
      <c r="IV23" s="131"/>
    </row>
    <row r="24" spans="1:256" ht="15.75" customHeight="1" x14ac:dyDescent="0.2">
      <c r="A24" s="127" t="s">
        <v>71</v>
      </c>
      <c r="B24" s="128">
        <f t="shared" si="10"/>
        <v>339.70050000000009</v>
      </c>
      <c r="C24" s="128">
        <f t="shared" si="0"/>
        <v>1094.5905</v>
      </c>
      <c r="D24" s="129">
        <f t="shared" si="11"/>
        <v>418.36950000000002</v>
      </c>
      <c r="E24" s="129">
        <f t="shared" si="1"/>
        <v>1348.0795000000001</v>
      </c>
      <c r="F24" s="128">
        <f t="shared" si="12"/>
        <v>457.52849999999989</v>
      </c>
      <c r="G24" s="128">
        <f t="shared" si="2"/>
        <v>1474.2584999999999</v>
      </c>
      <c r="H24" s="129">
        <f t="shared" si="13"/>
        <v>497.47049999999979</v>
      </c>
      <c r="I24" s="129">
        <f t="shared" si="3"/>
        <v>1602.9604999999997</v>
      </c>
      <c r="J24" s="128">
        <f t="shared" si="14"/>
        <v>559.80900000000008</v>
      </c>
      <c r="K24" s="128">
        <f t="shared" si="4"/>
        <v>1803.8290000000002</v>
      </c>
      <c r="L24" s="129">
        <f t="shared" si="15"/>
        <v>636.36750000000006</v>
      </c>
      <c r="M24" s="129">
        <f t="shared" si="5"/>
        <v>2050.5174999999999</v>
      </c>
      <c r="N24" s="128">
        <f t="shared" si="16"/>
        <v>754.50599999999997</v>
      </c>
      <c r="O24" s="128">
        <f t="shared" si="6"/>
        <v>2431.1860000000001</v>
      </c>
      <c r="P24" s="130">
        <f t="shared" si="17"/>
        <v>784.6964999999999</v>
      </c>
      <c r="Q24" s="129">
        <f t="shared" si="7"/>
        <v>2528.4665</v>
      </c>
      <c r="R24" s="129">
        <f t="shared" si="18"/>
        <v>905.26499999999999</v>
      </c>
      <c r="S24" s="129">
        <f t="shared" si="8"/>
        <v>2916.9650000000001</v>
      </c>
      <c r="T24" s="128">
        <f t="shared" si="19"/>
        <v>1110.8114999999998</v>
      </c>
      <c r="U24" s="128">
        <f t="shared" si="9"/>
        <v>3579.2814999999996</v>
      </c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  <c r="HX24" s="131"/>
      <c r="HY24" s="131"/>
      <c r="HZ24" s="131"/>
      <c r="IA24" s="131"/>
      <c r="IB24" s="131"/>
      <c r="IC24" s="131"/>
      <c r="ID24" s="131"/>
      <c r="IE24" s="131"/>
      <c r="IF24" s="131"/>
      <c r="IG24" s="131"/>
      <c r="IH24" s="131"/>
      <c r="II24" s="131"/>
      <c r="IJ24" s="131"/>
      <c r="IK24" s="131"/>
      <c r="IL24" s="131"/>
      <c r="IM24" s="131"/>
      <c r="IN24" s="131"/>
      <c r="IO24" s="131"/>
      <c r="IP24" s="131"/>
      <c r="IQ24" s="131"/>
      <c r="IR24" s="131"/>
      <c r="IS24" s="131"/>
      <c r="IT24" s="131"/>
      <c r="IU24" s="131"/>
      <c r="IV24" s="131"/>
    </row>
    <row r="25" spans="1:256" ht="15.75" customHeight="1" x14ac:dyDescent="0.2">
      <c r="A25" s="127" t="s">
        <v>72</v>
      </c>
      <c r="B25" s="128">
        <f t="shared" si="10"/>
        <v>362.3472000000001</v>
      </c>
      <c r="C25" s="128">
        <f t="shared" si="0"/>
        <v>1117.2372</v>
      </c>
      <c r="D25" s="129">
        <f t="shared" si="11"/>
        <v>446.26080000000002</v>
      </c>
      <c r="E25" s="129">
        <f t="shared" si="1"/>
        <v>1375.9708000000001</v>
      </c>
      <c r="F25" s="128">
        <f t="shared" si="12"/>
        <v>488.03039999999987</v>
      </c>
      <c r="G25" s="128">
        <f t="shared" si="2"/>
        <v>1504.7603999999999</v>
      </c>
      <c r="H25" s="129">
        <f t="shared" si="13"/>
        <v>530.63519999999983</v>
      </c>
      <c r="I25" s="129">
        <f t="shared" si="3"/>
        <v>1636.1251999999999</v>
      </c>
      <c r="J25" s="128">
        <f t="shared" si="14"/>
        <v>597.1296000000001</v>
      </c>
      <c r="K25" s="128">
        <f t="shared" si="4"/>
        <v>1841.1496000000002</v>
      </c>
      <c r="L25" s="129">
        <f t="shared" si="15"/>
        <v>678.79200000000003</v>
      </c>
      <c r="M25" s="129">
        <f t="shared" si="5"/>
        <v>2092.942</v>
      </c>
      <c r="N25" s="128">
        <f t="shared" si="16"/>
        <v>804.80639999999994</v>
      </c>
      <c r="O25" s="128">
        <f t="shared" si="6"/>
        <v>2481.4863999999998</v>
      </c>
      <c r="P25" s="130">
        <f t="shared" si="17"/>
        <v>837.00959999999986</v>
      </c>
      <c r="Q25" s="129">
        <f t="shared" si="7"/>
        <v>2580.7795999999998</v>
      </c>
      <c r="R25" s="129">
        <f t="shared" si="18"/>
        <v>965.61599999999999</v>
      </c>
      <c r="S25" s="129">
        <f t="shared" si="8"/>
        <v>2977.3159999999998</v>
      </c>
      <c r="T25" s="128">
        <f t="shared" si="19"/>
        <v>1184.8655999999999</v>
      </c>
      <c r="U25" s="128">
        <f t="shared" si="9"/>
        <v>3653.3355999999994</v>
      </c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31"/>
      <c r="EK25" s="131"/>
      <c r="EL25" s="131"/>
      <c r="EM25" s="131"/>
      <c r="EN25" s="131"/>
      <c r="EO25" s="131"/>
      <c r="EP25" s="131"/>
      <c r="EQ25" s="131"/>
      <c r="ER25" s="131"/>
      <c r="ES25" s="131"/>
      <c r="ET25" s="131"/>
      <c r="EU25" s="131"/>
      <c r="EV25" s="131"/>
      <c r="EW25" s="131"/>
      <c r="EX25" s="131"/>
      <c r="EY25" s="131"/>
      <c r="EZ25" s="131"/>
      <c r="FA25" s="131"/>
      <c r="FB25" s="131"/>
      <c r="FC25" s="131"/>
      <c r="FD25" s="131"/>
      <c r="FE25" s="131"/>
      <c r="FF25" s="131"/>
      <c r="FG25" s="131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1"/>
      <c r="FU25" s="131"/>
      <c r="FV25" s="131"/>
      <c r="FW25" s="131"/>
      <c r="FX25" s="131"/>
      <c r="FY25" s="131"/>
      <c r="FZ25" s="131"/>
      <c r="GA25" s="131"/>
      <c r="GB25" s="131"/>
      <c r="GC25" s="131"/>
      <c r="GD25" s="131"/>
      <c r="GE25" s="131"/>
      <c r="GF25" s="131"/>
      <c r="GG25" s="131"/>
      <c r="GH25" s="131"/>
      <c r="GI25" s="131"/>
      <c r="GJ25" s="131"/>
      <c r="GK25" s="131"/>
      <c r="GL25" s="131"/>
      <c r="GM25" s="131"/>
      <c r="GN25" s="131"/>
      <c r="GO25" s="131"/>
      <c r="GP25" s="131"/>
      <c r="GQ25" s="131"/>
      <c r="GR25" s="131"/>
      <c r="GS25" s="131"/>
      <c r="GT25" s="131"/>
      <c r="GU25" s="131"/>
      <c r="GV25" s="131"/>
      <c r="GW25" s="131"/>
      <c r="GX25" s="131"/>
      <c r="GY25" s="131"/>
      <c r="GZ25" s="131"/>
      <c r="HA25" s="131"/>
      <c r="HB25" s="131"/>
      <c r="HC25" s="131"/>
      <c r="HD25" s="131"/>
      <c r="HE25" s="131"/>
      <c r="HF25" s="131"/>
      <c r="HG25" s="131"/>
      <c r="HH25" s="131"/>
      <c r="HI25" s="131"/>
      <c r="HJ25" s="131"/>
      <c r="HK25" s="131"/>
      <c r="HL25" s="131"/>
      <c r="HM25" s="131"/>
      <c r="HN25" s="131"/>
      <c r="HO25" s="131"/>
      <c r="HP25" s="131"/>
      <c r="HQ25" s="131"/>
      <c r="HR25" s="131"/>
      <c r="HS25" s="131"/>
      <c r="HT25" s="131"/>
      <c r="HU25" s="131"/>
      <c r="HV25" s="131"/>
      <c r="HW25" s="131"/>
      <c r="HX25" s="131"/>
      <c r="HY25" s="131"/>
      <c r="HZ25" s="131"/>
      <c r="IA25" s="131"/>
      <c r="IB25" s="131"/>
      <c r="IC25" s="131"/>
      <c r="ID25" s="131"/>
      <c r="IE25" s="131"/>
      <c r="IF25" s="131"/>
      <c r="IG25" s="131"/>
      <c r="IH25" s="131"/>
      <c r="II25" s="131"/>
      <c r="IJ25" s="131"/>
      <c r="IK25" s="131"/>
      <c r="IL25" s="131"/>
      <c r="IM25" s="131"/>
      <c r="IN25" s="131"/>
      <c r="IO25" s="131"/>
      <c r="IP25" s="131"/>
      <c r="IQ25" s="131"/>
      <c r="IR25" s="131"/>
      <c r="IS25" s="131"/>
      <c r="IT25" s="131"/>
      <c r="IU25" s="131"/>
      <c r="IV25" s="131"/>
    </row>
    <row r="26" spans="1:256" ht="15.75" customHeight="1" x14ac:dyDescent="0.2">
      <c r="A26" s="127" t="s">
        <v>73</v>
      </c>
      <c r="B26" s="128">
        <f t="shared" si="10"/>
        <v>384.99390000000011</v>
      </c>
      <c r="C26" s="128">
        <f t="shared" si="0"/>
        <v>1139.8839</v>
      </c>
      <c r="D26" s="129">
        <f t="shared" si="11"/>
        <v>474.15210000000002</v>
      </c>
      <c r="E26" s="129">
        <f t="shared" si="1"/>
        <v>1403.8621000000001</v>
      </c>
      <c r="F26" s="128">
        <f t="shared" si="12"/>
        <v>518.53229999999985</v>
      </c>
      <c r="G26" s="128">
        <f t="shared" si="2"/>
        <v>1535.2622999999999</v>
      </c>
      <c r="H26" s="129">
        <f t="shared" si="13"/>
        <v>563.79989999999987</v>
      </c>
      <c r="I26" s="129">
        <f t="shared" si="3"/>
        <v>1669.2898999999998</v>
      </c>
      <c r="J26" s="128">
        <f t="shared" si="14"/>
        <v>634.45020000000011</v>
      </c>
      <c r="K26" s="128">
        <f t="shared" si="4"/>
        <v>1878.4702000000002</v>
      </c>
      <c r="L26" s="129">
        <f t="shared" si="15"/>
        <v>721.2165</v>
      </c>
      <c r="M26" s="129">
        <f t="shared" si="5"/>
        <v>2135.3665000000001</v>
      </c>
      <c r="N26" s="128">
        <f t="shared" si="16"/>
        <v>855.10679999999991</v>
      </c>
      <c r="O26" s="128">
        <f t="shared" si="6"/>
        <v>2531.7867999999999</v>
      </c>
      <c r="P26" s="130">
        <f t="shared" si="17"/>
        <v>889.32269999999983</v>
      </c>
      <c r="Q26" s="129">
        <f t="shared" si="7"/>
        <v>2633.0926999999997</v>
      </c>
      <c r="R26" s="129">
        <f t="shared" si="18"/>
        <v>1025.9670000000001</v>
      </c>
      <c r="S26" s="129">
        <f t="shared" si="8"/>
        <v>3037.6670000000004</v>
      </c>
      <c r="T26" s="128">
        <f t="shared" si="19"/>
        <v>1258.9196999999999</v>
      </c>
      <c r="U26" s="128">
        <f t="shared" si="9"/>
        <v>3727.3896999999997</v>
      </c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1"/>
      <c r="GD26" s="131"/>
      <c r="GE26" s="131"/>
      <c r="GF26" s="131"/>
      <c r="GG26" s="131"/>
      <c r="GH26" s="131"/>
      <c r="GI26" s="131"/>
      <c r="GJ26" s="131"/>
      <c r="GK26" s="131"/>
      <c r="GL26" s="131"/>
      <c r="GM26" s="131"/>
      <c r="GN26" s="131"/>
      <c r="GO26" s="131"/>
      <c r="GP26" s="131"/>
      <c r="GQ26" s="131"/>
      <c r="GR26" s="131"/>
      <c r="GS26" s="131"/>
      <c r="GT26" s="131"/>
      <c r="GU26" s="131"/>
      <c r="GV26" s="131"/>
      <c r="GW26" s="131"/>
      <c r="GX26" s="131"/>
      <c r="GY26" s="131"/>
      <c r="GZ26" s="131"/>
      <c r="HA26" s="131"/>
      <c r="HB26" s="131"/>
      <c r="HC26" s="131"/>
      <c r="HD26" s="131"/>
      <c r="HE26" s="131"/>
      <c r="HF26" s="131"/>
      <c r="HG26" s="131"/>
      <c r="HH26" s="131"/>
      <c r="HI26" s="131"/>
      <c r="HJ26" s="131"/>
      <c r="HK26" s="131"/>
      <c r="HL26" s="131"/>
      <c r="HM26" s="131"/>
      <c r="HN26" s="131"/>
      <c r="HO26" s="131"/>
      <c r="HP26" s="131"/>
      <c r="HQ26" s="131"/>
      <c r="HR26" s="131"/>
      <c r="HS26" s="131"/>
      <c r="HT26" s="131"/>
      <c r="HU26" s="131"/>
      <c r="HV26" s="131"/>
      <c r="HW26" s="131"/>
      <c r="HX26" s="131"/>
      <c r="HY26" s="131"/>
      <c r="HZ26" s="131"/>
      <c r="IA26" s="131"/>
      <c r="IB26" s="131"/>
      <c r="IC26" s="131"/>
      <c r="ID26" s="131"/>
      <c r="IE26" s="131"/>
      <c r="IF26" s="131"/>
      <c r="IG26" s="131"/>
      <c r="IH26" s="131"/>
      <c r="II26" s="131"/>
      <c r="IJ26" s="131"/>
      <c r="IK26" s="131"/>
      <c r="IL26" s="131"/>
      <c r="IM26" s="131"/>
      <c r="IN26" s="131"/>
      <c r="IO26" s="131"/>
      <c r="IP26" s="131"/>
      <c r="IQ26" s="131"/>
      <c r="IR26" s="131"/>
      <c r="IS26" s="131"/>
      <c r="IT26" s="131"/>
      <c r="IU26" s="131"/>
      <c r="IV26" s="131"/>
    </row>
    <row r="27" spans="1:256" ht="15.75" customHeight="1" x14ac:dyDescent="0.2">
      <c r="A27" s="127" t="s">
        <v>74</v>
      </c>
      <c r="B27" s="128">
        <f t="shared" si="10"/>
        <v>407.64060000000012</v>
      </c>
      <c r="C27" s="128">
        <f t="shared" si="0"/>
        <v>1162.5306</v>
      </c>
      <c r="D27" s="129">
        <f t="shared" si="11"/>
        <v>502.04340000000002</v>
      </c>
      <c r="E27" s="129">
        <f t="shared" si="1"/>
        <v>1431.7534000000001</v>
      </c>
      <c r="F27" s="128">
        <f t="shared" si="12"/>
        <v>549.03419999999983</v>
      </c>
      <c r="G27" s="128">
        <f t="shared" si="2"/>
        <v>1565.7641999999998</v>
      </c>
      <c r="H27" s="129">
        <f t="shared" si="13"/>
        <v>596.9645999999999</v>
      </c>
      <c r="I27" s="129">
        <f t="shared" si="3"/>
        <v>1702.4546</v>
      </c>
      <c r="J27" s="128">
        <f t="shared" si="14"/>
        <v>671.77080000000012</v>
      </c>
      <c r="K27" s="128">
        <f t="shared" si="4"/>
        <v>1915.7908000000002</v>
      </c>
      <c r="L27" s="129">
        <f t="shared" si="15"/>
        <v>763.64099999999996</v>
      </c>
      <c r="M27" s="129">
        <f t="shared" si="5"/>
        <v>2177.7910000000002</v>
      </c>
      <c r="N27" s="128">
        <f t="shared" si="16"/>
        <v>905.40719999999988</v>
      </c>
      <c r="O27" s="128">
        <f t="shared" si="6"/>
        <v>2582.0871999999999</v>
      </c>
      <c r="P27" s="130">
        <f t="shared" si="17"/>
        <v>941.63579999999979</v>
      </c>
      <c r="Q27" s="129">
        <f t="shared" si="7"/>
        <v>2685.4057999999995</v>
      </c>
      <c r="R27" s="129">
        <f t="shared" si="18"/>
        <v>1086.3180000000002</v>
      </c>
      <c r="S27" s="129">
        <f t="shared" si="8"/>
        <v>3098.018</v>
      </c>
      <c r="T27" s="128">
        <f t="shared" si="19"/>
        <v>1332.9738</v>
      </c>
      <c r="U27" s="128">
        <f t="shared" si="9"/>
        <v>3801.4438</v>
      </c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1"/>
      <c r="GB27" s="131"/>
      <c r="GC27" s="131"/>
      <c r="GD27" s="131"/>
      <c r="GE27" s="131"/>
      <c r="GF27" s="131"/>
      <c r="GG27" s="131"/>
      <c r="GH27" s="131"/>
      <c r="GI27" s="131"/>
      <c r="GJ27" s="131"/>
      <c r="GK27" s="131"/>
      <c r="GL27" s="131"/>
      <c r="GM27" s="131"/>
      <c r="GN27" s="131"/>
      <c r="GO27" s="131"/>
      <c r="GP27" s="131"/>
      <c r="GQ27" s="131"/>
      <c r="GR27" s="131"/>
      <c r="GS27" s="131"/>
      <c r="GT27" s="131"/>
      <c r="GU27" s="131"/>
      <c r="GV27" s="131"/>
      <c r="GW27" s="131"/>
      <c r="GX27" s="131"/>
      <c r="GY27" s="131"/>
      <c r="GZ27" s="131"/>
      <c r="HA27" s="131"/>
      <c r="HB27" s="131"/>
      <c r="HC27" s="131"/>
      <c r="HD27" s="131"/>
      <c r="HE27" s="131"/>
      <c r="HF27" s="131"/>
      <c r="HG27" s="131"/>
      <c r="HH27" s="131"/>
      <c r="HI27" s="131"/>
      <c r="HJ27" s="131"/>
      <c r="HK27" s="131"/>
      <c r="HL27" s="131"/>
      <c r="HM27" s="131"/>
      <c r="HN27" s="131"/>
      <c r="HO27" s="131"/>
      <c r="HP27" s="131"/>
      <c r="HQ27" s="131"/>
      <c r="HR27" s="131"/>
      <c r="HS27" s="131"/>
      <c r="HT27" s="131"/>
      <c r="HU27" s="131"/>
      <c r="HV27" s="131"/>
      <c r="HW27" s="131"/>
      <c r="HX27" s="131"/>
      <c r="HY27" s="131"/>
      <c r="HZ27" s="131"/>
      <c r="IA27" s="131"/>
      <c r="IB27" s="131"/>
      <c r="IC27" s="131"/>
      <c r="ID27" s="131"/>
      <c r="IE27" s="131"/>
      <c r="IF27" s="131"/>
      <c r="IG27" s="131"/>
      <c r="IH27" s="131"/>
      <c r="II27" s="131"/>
      <c r="IJ27" s="131"/>
      <c r="IK27" s="131"/>
      <c r="IL27" s="131"/>
      <c r="IM27" s="131"/>
      <c r="IN27" s="131"/>
      <c r="IO27" s="131"/>
      <c r="IP27" s="131"/>
      <c r="IQ27" s="131"/>
      <c r="IR27" s="131"/>
      <c r="IS27" s="131"/>
      <c r="IT27" s="131"/>
      <c r="IU27" s="131"/>
      <c r="IV27" s="131"/>
    </row>
    <row r="28" spans="1:256" ht="15.75" customHeight="1" x14ac:dyDescent="0.2">
      <c r="A28" s="127" t="s">
        <v>75</v>
      </c>
      <c r="B28" s="128">
        <f t="shared" si="10"/>
        <v>430.28730000000013</v>
      </c>
      <c r="C28" s="128">
        <f t="shared" si="0"/>
        <v>1185.1773000000001</v>
      </c>
      <c r="D28" s="129">
        <f t="shared" si="11"/>
        <v>529.93470000000002</v>
      </c>
      <c r="E28" s="129">
        <f t="shared" si="1"/>
        <v>1459.6447000000001</v>
      </c>
      <c r="F28" s="128">
        <f t="shared" si="12"/>
        <v>579.53609999999981</v>
      </c>
      <c r="G28" s="128">
        <f t="shared" si="2"/>
        <v>1596.2660999999998</v>
      </c>
      <c r="H28" s="129">
        <f t="shared" si="13"/>
        <v>630.12929999999994</v>
      </c>
      <c r="I28" s="129">
        <f t="shared" si="3"/>
        <v>1735.6192999999998</v>
      </c>
      <c r="J28" s="128">
        <f t="shared" si="14"/>
        <v>709.09140000000014</v>
      </c>
      <c r="K28" s="128">
        <f t="shared" si="4"/>
        <v>1953.1114000000002</v>
      </c>
      <c r="L28" s="129">
        <f t="shared" si="15"/>
        <v>806.06549999999993</v>
      </c>
      <c r="M28" s="129">
        <f t="shared" si="5"/>
        <v>2220.2155000000002</v>
      </c>
      <c r="N28" s="128">
        <f t="shared" si="16"/>
        <v>955.70759999999984</v>
      </c>
      <c r="O28" s="128">
        <f t="shared" si="6"/>
        <v>2632.3876</v>
      </c>
      <c r="P28" s="130">
        <f t="shared" si="17"/>
        <v>993.94889999999975</v>
      </c>
      <c r="Q28" s="129">
        <f t="shared" si="7"/>
        <v>2737.7188999999998</v>
      </c>
      <c r="R28" s="129">
        <f t="shared" si="18"/>
        <v>1146.6690000000003</v>
      </c>
      <c r="S28" s="129">
        <f t="shared" si="8"/>
        <v>3158.3690000000006</v>
      </c>
      <c r="T28" s="128">
        <f t="shared" si="19"/>
        <v>1407.0279</v>
      </c>
      <c r="U28" s="128">
        <f t="shared" si="9"/>
        <v>3875.4978999999998</v>
      </c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131"/>
      <c r="GB28" s="131"/>
      <c r="GC28" s="131"/>
      <c r="GD28" s="131"/>
      <c r="GE28" s="131"/>
      <c r="GF28" s="131"/>
      <c r="GG28" s="131"/>
      <c r="GH28" s="131"/>
      <c r="GI28" s="131"/>
      <c r="GJ28" s="131"/>
      <c r="GK28" s="131"/>
      <c r="GL28" s="131"/>
      <c r="GM28" s="131"/>
      <c r="GN28" s="131"/>
      <c r="GO28" s="131"/>
      <c r="GP28" s="131"/>
      <c r="GQ28" s="131"/>
      <c r="GR28" s="131"/>
      <c r="GS28" s="131"/>
      <c r="GT28" s="131"/>
      <c r="GU28" s="131"/>
      <c r="GV28" s="131"/>
      <c r="GW28" s="131"/>
      <c r="GX28" s="131"/>
      <c r="GY28" s="131"/>
      <c r="GZ28" s="131"/>
      <c r="HA28" s="131"/>
      <c r="HB28" s="131"/>
      <c r="HC28" s="131"/>
      <c r="HD28" s="131"/>
      <c r="HE28" s="131"/>
      <c r="HF28" s="131"/>
      <c r="HG28" s="131"/>
      <c r="HH28" s="131"/>
      <c r="HI28" s="131"/>
      <c r="HJ28" s="131"/>
      <c r="HK28" s="131"/>
      <c r="HL28" s="131"/>
      <c r="HM28" s="131"/>
      <c r="HN28" s="131"/>
      <c r="HO28" s="131"/>
      <c r="HP28" s="131"/>
      <c r="HQ28" s="131"/>
      <c r="HR28" s="131"/>
      <c r="HS28" s="131"/>
      <c r="HT28" s="131"/>
      <c r="HU28" s="131"/>
      <c r="HV28" s="131"/>
      <c r="HW28" s="131"/>
      <c r="HX28" s="131"/>
      <c r="HY28" s="131"/>
      <c r="HZ28" s="131"/>
      <c r="IA28" s="131"/>
      <c r="IB28" s="131"/>
      <c r="IC28" s="131"/>
      <c r="ID28" s="131"/>
      <c r="IE28" s="131"/>
      <c r="IF28" s="131"/>
      <c r="IG28" s="131"/>
      <c r="IH28" s="131"/>
      <c r="II28" s="131"/>
      <c r="IJ28" s="131"/>
      <c r="IK28" s="131"/>
      <c r="IL28" s="131"/>
      <c r="IM28" s="131"/>
      <c r="IN28" s="131"/>
      <c r="IO28" s="131"/>
      <c r="IP28" s="131"/>
      <c r="IQ28" s="131"/>
      <c r="IR28" s="131"/>
      <c r="IS28" s="131"/>
      <c r="IT28" s="131"/>
      <c r="IU28" s="131"/>
      <c r="IV28" s="131"/>
    </row>
    <row r="29" spans="1:256" ht="15.75" customHeight="1" x14ac:dyDescent="0.2">
      <c r="A29" s="127" t="s">
        <v>76</v>
      </c>
      <c r="B29" s="128">
        <f t="shared" si="10"/>
        <v>452.93400000000014</v>
      </c>
      <c r="C29" s="128">
        <f t="shared" si="0"/>
        <v>1207.8240000000001</v>
      </c>
      <c r="D29" s="129">
        <f t="shared" si="11"/>
        <v>557.82600000000002</v>
      </c>
      <c r="E29" s="129">
        <f t="shared" si="1"/>
        <v>1487.5360000000001</v>
      </c>
      <c r="F29" s="128">
        <f t="shared" si="12"/>
        <v>610.03799999999978</v>
      </c>
      <c r="G29" s="128">
        <f t="shared" si="2"/>
        <v>1626.7679999999998</v>
      </c>
      <c r="H29" s="129">
        <f t="shared" si="13"/>
        <v>663.29399999999998</v>
      </c>
      <c r="I29" s="129">
        <f t="shared" si="3"/>
        <v>1768.7840000000001</v>
      </c>
      <c r="J29" s="128">
        <f t="shared" si="14"/>
        <v>746.41200000000015</v>
      </c>
      <c r="K29" s="128">
        <f t="shared" si="4"/>
        <v>1990.4320000000002</v>
      </c>
      <c r="L29" s="129">
        <f t="shared" si="15"/>
        <v>848.4899999999999</v>
      </c>
      <c r="M29" s="129">
        <f t="shared" si="5"/>
        <v>2262.64</v>
      </c>
      <c r="N29" s="128">
        <f t="shared" si="16"/>
        <v>1006.0079999999998</v>
      </c>
      <c r="O29" s="128">
        <f t="shared" si="6"/>
        <v>2682.6880000000001</v>
      </c>
      <c r="P29" s="130">
        <f t="shared" si="17"/>
        <v>1046.2619999999997</v>
      </c>
      <c r="Q29" s="129">
        <f t="shared" si="7"/>
        <v>2790.0319999999997</v>
      </c>
      <c r="R29" s="129">
        <f t="shared" si="18"/>
        <v>1207.0200000000004</v>
      </c>
      <c r="S29" s="129">
        <f t="shared" si="8"/>
        <v>3218.7200000000003</v>
      </c>
      <c r="T29" s="128">
        <f t="shared" si="19"/>
        <v>1481.0820000000001</v>
      </c>
      <c r="U29" s="128">
        <f t="shared" si="9"/>
        <v>3949.5519999999997</v>
      </c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  <c r="GH29" s="131"/>
      <c r="GI29" s="131"/>
      <c r="GJ29" s="131"/>
      <c r="GK29" s="131"/>
      <c r="GL29" s="131"/>
      <c r="GM29" s="131"/>
      <c r="GN29" s="131"/>
      <c r="GO29" s="131"/>
      <c r="GP29" s="131"/>
      <c r="GQ29" s="131"/>
      <c r="GR29" s="131"/>
      <c r="GS29" s="131"/>
      <c r="GT29" s="131"/>
      <c r="GU29" s="131"/>
      <c r="GV29" s="131"/>
      <c r="GW29" s="131"/>
      <c r="GX29" s="131"/>
      <c r="GY29" s="131"/>
      <c r="GZ29" s="131"/>
      <c r="HA29" s="131"/>
      <c r="HB29" s="131"/>
      <c r="HC29" s="131"/>
      <c r="HD29" s="131"/>
      <c r="HE29" s="131"/>
      <c r="HF29" s="131"/>
      <c r="HG29" s="131"/>
      <c r="HH29" s="131"/>
      <c r="HI29" s="131"/>
      <c r="HJ29" s="131"/>
      <c r="HK29" s="131"/>
      <c r="HL29" s="131"/>
      <c r="HM29" s="131"/>
      <c r="HN29" s="131"/>
      <c r="HO29" s="131"/>
      <c r="HP29" s="131"/>
      <c r="HQ29" s="131"/>
      <c r="HR29" s="131"/>
      <c r="HS29" s="131"/>
      <c r="HT29" s="131"/>
      <c r="HU29" s="131"/>
      <c r="HV29" s="131"/>
      <c r="HW29" s="131"/>
      <c r="HX29" s="131"/>
      <c r="HY29" s="131"/>
      <c r="HZ29" s="131"/>
      <c r="IA29" s="131"/>
      <c r="IB29" s="131"/>
      <c r="IC29" s="131"/>
      <c r="ID29" s="131"/>
      <c r="IE29" s="131"/>
      <c r="IF29" s="131"/>
      <c r="IG29" s="131"/>
      <c r="IH29" s="131"/>
      <c r="II29" s="131"/>
      <c r="IJ29" s="131"/>
      <c r="IK29" s="131"/>
      <c r="IL29" s="131"/>
      <c r="IM29" s="131"/>
      <c r="IN29" s="131"/>
      <c r="IO29" s="131"/>
      <c r="IP29" s="131"/>
      <c r="IQ29" s="131"/>
      <c r="IR29" s="131"/>
      <c r="IS29" s="131"/>
      <c r="IT29" s="131"/>
      <c r="IU29" s="131"/>
      <c r="IV29" s="131"/>
    </row>
    <row r="30" spans="1:256" ht="15.75" customHeight="1" x14ac:dyDescent="0.2">
      <c r="A30" s="127" t="s">
        <v>77</v>
      </c>
      <c r="B30" s="128">
        <f t="shared" si="10"/>
        <v>475.58070000000015</v>
      </c>
      <c r="C30" s="128">
        <f t="shared" si="0"/>
        <v>1230.4707000000001</v>
      </c>
      <c r="D30" s="129">
        <f t="shared" si="11"/>
        <v>585.71730000000002</v>
      </c>
      <c r="E30" s="129">
        <f t="shared" si="1"/>
        <v>1515.4273000000001</v>
      </c>
      <c r="F30" s="128">
        <f t="shared" si="12"/>
        <v>640.53989999999976</v>
      </c>
      <c r="G30" s="128">
        <f t="shared" si="2"/>
        <v>1657.2698999999998</v>
      </c>
      <c r="H30" s="129">
        <f t="shared" si="13"/>
        <v>696.45870000000002</v>
      </c>
      <c r="I30" s="129">
        <f t="shared" si="3"/>
        <v>1801.9486999999999</v>
      </c>
      <c r="J30" s="128">
        <f t="shared" si="14"/>
        <v>783.73260000000016</v>
      </c>
      <c r="K30" s="128">
        <f t="shared" si="4"/>
        <v>2027.7526000000003</v>
      </c>
      <c r="L30" s="129">
        <f t="shared" si="15"/>
        <v>890.91449999999986</v>
      </c>
      <c r="M30" s="129">
        <f t="shared" si="5"/>
        <v>2305.0645</v>
      </c>
      <c r="N30" s="128">
        <f t="shared" si="16"/>
        <v>1056.3083999999999</v>
      </c>
      <c r="O30" s="128">
        <f t="shared" si="6"/>
        <v>2732.9884000000002</v>
      </c>
      <c r="P30" s="130">
        <f t="shared" si="17"/>
        <v>1098.5750999999998</v>
      </c>
      <c r="Q30" s="129">
        <f t="shared" si="7"/>
        <v>2842.3450999999995</v>
      </c>
      <c r="R30" s="129">
        <f t="shared" si="18"/>
        <v>1267.3710000000005</v>
      </c>
      <c r="S30" s="129">
        <f t="shared" si="8"/>
        <v>3279.0710000000008</v>
      </c>
      <c r="T30" s="128">
        <f t="shared" si="19"/>
        <v>1555.1361000000002</v>
      </c>
      <c r="U30" s="128">
        <f t="shared" si="9"/>
        <v>4023.6061</v>
      </c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1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  <c r="GH30" s="131"/>
      <c r="GI30" s="131"/>
      <c r="GJ30" s="131"/>
      <c r="GK30" s="131"/>
      <c r="GL30" s="131"/>
      <c r="GM30" s="131"/>
      <c r="GN30" s="131"/>
      <c r="GO30" s="131"/>
      <c r="GP30" s="131"/>
      <c r="GQ30" s="131"/>
      <c r="GR30" s="131"/>
      <c r="GS30" s="131"/>
      <c r="GT30" s="131"/>
      <c r="GU30" s="131"/>
      <c r="GV30" s="131"/>
      <c r="GW30" s="131"/>
      <c r="GX30" s="131"/>
      <c r="GY30" s="131"/>
      <c r="GZ30" s="131"/>
      <c r="HA30" s="131"/>
      <c r="HB30" s="131"/>
      <c r="HC30" s="131"/>
      <c r="HD30" s="131"/>
      <c r="HE30" s="131"/>
      <c r="HF30" s="131"/>
      <c r="HG30" s="131"/>
      <c r="HH30" s="131"/>
      <c r="HI30" s="131"/>
      <c r="HJ30" s="131"/>
      <c r="HK30" s="131"/>
      <c r="HL30" s="131"/>
      <c r="HM30" s="131"/>
      <c r="HN30" s="131"/>
      <c r="HO30" s="131"/>
      <c r="HP30" s="131"/>
      <c r="HQ30" s="131"/>
      <c r="HR30" s="131"/>
      <c r="HS30" s="131"/>
      <c r="HT30" s="131"/>
      <c r="HU30" s="131"/>
      <c r="HV30" s="131"/>
      <c r="HW30" s="131"/>
      <c r="HX30" s="131"/>
      <c r="HY30" s="131"/>
      <c r="HZ30" s="131"/>
      <c r="IA30" s="131"/>
      <c r="IB30" s="131"/>
      <c r="IC30" s="131"/>
      <c r="ID30" s="131"/>
      <c r="IE30" s="131"/>
      <c r="IF30" s="131"/>
      <c r="IG30" s="131"/>
      <c r="IH30" s="131"/>
      <c r="II30" s="131"/>
      <c r="IJ30" s="131"/>
      <c r="IK30" s="131"/>
      <c r="IL30" s="131"/>
      <c r="IM30" s="131"/>
      <c r="IN30" s="131"/>
      <c r="IO30" s="131"/>
      <c r="IP30" s="131"/>
      <c r="IQ30" s="131"/>
      <c r="IR30" s="131"/>
      <c r="IS30" s="131"/>
      <c r="IT30" s="131"/>
      <c r="IU30" s="131"/>
      <c r="IV30" s="131"/>
    </row>
    <row r="31" spans="1:256" ht="15.75" customHeight="1" x14ac:dyDescent="0.2">
      <c r="A31" s="127" t="s">
        <v>78</v>
      </c>
      <c r="B31" s="128">
        <f t="shared" si="10"/>
        <v>498.22740000000016</v>
      </c>
      <c r="C31" s="128">
        <f t="shared" si="0"/>
        <v>1253.1174000000001</v>
      </c>
      <c r="D31" s="129">
        <f t="shared" si="11"/>
        <v>613.60860000000002</v>
      </c>
      <c r="E31" s="129">
        <f t="shared" si="1"/>
        <v>1543.3186000000001</v>
      </c>
      <c r="F31" s="128">
        <f t="shared" si="12"/>
        <v>671.04179999999974</v>
      </c>
      <c r="G31" s="128">
        <f t="shared" si="2"/>
        <v>1687.7717999999998</v>
      </c>
      <c r="H31" s="129">
        <f t="shared" si="13"/>
        <v>729.62340000000006</v>
      </c>
      <c r="I31" s="129">
        <f t="shared" si="3"/>
        <v>1835.1134000000002</v>
      </c>
      <c r="J31" s="128">
        <f t="shared" si="14"/>
        <v>821.05320000000017</v>
      </c>
      <c r="K31" s="128">
        <f t="shared" si="4"/>
        <v>2065.0732000000003</v>
      </c>
      <c r="L31" s="129">
        <f t="shared" si="15"/>
        <v>933.33899999999983</v>
      </c>
      <c r="M31" s="129">
        <f t="shared" si="5"/>
        <v>2347.489</v>
      </c>
      <c r="N31" s="128">
        <f t="shared" si="16"/>
        <v>1106.6088</v>
      </c>
      <c r="O31" s="128">
        <f t="shared" si="6"/>
        <v>2783.2888000000003</v>
      </c>
      <c r="P31" s="130">
        <f t="shared" si="17"/>
        <v>1150.8881999999999</v>
      </c>
      <c r="Q31" s="129">
        <f t="shared" si="7"/>
        <v>2894.6581999999999</v>
      </c>
      <c r="R31" s="129">
        <f t="shared" si="18"/>
        <v>1327.7220000000007</v>
      </c>
      <c r="S31" s="129">
        <f t="shared" si="8"/>
        <v>3339.4220000000005</v>
      </c>
      <c r="T31" s="128">
        <f t="shared" si="19"/>
        <v>1629.1902000000002</v>
      </c>
      <c r="U31" s="128">
        <f t="shared" si="9"/>
        <v>4097.6602000000003</v>
      </c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  <c r="GH31" s="131"/>
      <c r="GI31" s="131"/>
      <c r="GJ31" s="131"/>
      <c r="GK31" s="131"/>
      <c r="GL31" s="131"/>
      <c r="GM31" s="131"/>
      <c r="GN31" s="131"/>
      <c r="GO31" s="131"/>
      <c r="GP31" s="131"/>
      <c r="GQ31" s="131"/>
      <c r="GR31" s="131"/>
      <c r="GS31" s="131"/>
      <c r="GT31" s="131"/>
      <c r="GU31" s="131"/>
      <c r="GV31" s="131"/>
      <c r="GW31" s="131"/>
      <c r="GX31" s="131"/>
      <c r="GY31" s="131"/>
      <c r="GZ31" s="131"/>
      <c r="HA31" s="131"/>
      <c r="HB31" s="131"/>
      <c r="HC31" s="131"/>
      <c r="HD31" s="131"/>
      <c r="HE31" s="131"/>
      <c r="HF31" s="131"/>
      <c r="HG31" s="131"/>
      <c r="HH31" s="131"/>
      <c r="HI31" s="131"/>
      <c r="HJ31" s="131"/>
      <c r="HK31" s="131"/>
      <c r="HL31" s="131"/>
      <c r="HM31" s="131"/>
      <c r="HN31" s="131"/>
      <c r="HO31" s="131"/>
      <c r="HP31" s="131"/>
      <c r="HQ31" s="131"/>
      <c r="HR31" s="131"/>
      <c r="HS31" s="131"/>
      <c r="HT31" s="131"/>
      <c r="HU31" s="131"/>
      <c r="HV31" s="131"/>
      <c r="HW31" s="131"/>
      <c r="HX31" s="131"/>
      <c r="HY31" s="131"/>
      <c r="HZ31" s="131"/>
      <c r="IA31" s="131"/>
      <c r="IB31" s="131"/>
      <c r="IC31" s="131"/>
      <c r="ID31" s="131"/>
      <c r="IE31" s="131"/>
      <c r="IF31" s="131"/>
      <c r="IG31" s="131"/>
      <c r="IH31" s="131"/>
      <c r="II31" s="131"/>
      <c r="IJ31" s="131"/>
      <c r="IK31" s="131"/>
      <c r="IL31" s="131"/>
      <c r="IM31" s="131"/>
      <c r="IN31" s="131"/>
      <c r="IO31" s="131"/>
      <c r="IP31" s="131"/>
      <c r="IQ31" s="131"/>
      <c r="IR31" s="131"/>
      <c r="IS31" s="131"/>
      <c r="IT31" s="131"/>
      <c r="IU31" s="131"/>
      <c r="IV31" s="131"/>
    </row>
    <row r="32" spans="1:256" ht="15.75" customHeight="1" x14ac:dyDescent="0.2">
      <c r="A32" s="127" t="s">
        <v>79</v>
      </c>
      <c r="B32" s="128">
        <f t="shared" si="10"/>
        <v>520.87410000000011</v>
      </c>
      <c r="C32" s="128">
        <f t="shared" si="0"/>
        <v>1275.7641000000001</v>
      </c>
      <c r="D32" s="129">
        <f t="shared" si="11"/>
        <v>641.49990000000003</v>
      </c>
      <c r="E32" s="129">
        <f t="shared" si="1"/>
        <v>1571.2099000000001</v>
      </c>
      <c r="F32" s="128">
        <f t="shared" si="12"/>
        <v>701.54369999999972</v>
      </c>
      <c r="G32" s="128">
        <f t="shared" si="2"/>
        <v>1718.2736999999997</v>
      </c>
      <c r="H32" s="129">
        <f t="shared" si="13"/>
        <v>762.7881000000001</v>
      </c>
      <c r="I32" s="129">
        <f t="shared" si="3"/>
        <v>1868.2781</v>
      </c>
      <c r="J32" s="128">
        <f t="shared" si="14"/>
        <v>858.37380000000019</v>
      </c>
      <c r="K32" s="128">
        <f t="shared" si="4"/>
        <v>2102.3938000000003</v>
      </c>
      <c r="L32" s="129">
        <f t="shared" si="15"/>
        <v>975.76349999999979</v>
      </c>
      <c r="M32" s="129">
        <f t="shared" si="5"/>
        <v>2389.9134999999997</v>
      </c>
      <c r="N32" s="128">
        <f t="shared" si="16"/>
        <v>1156.9092000000001</v>
      </c>
      <c r="O32" s="128">
        <f t="shared" si="6"/>
        <v>2833.5892000000003</v>
      </c>
      <c r="P32" s="130">
        <f t="shared" si="17"/>
        <v>1203.2012999999999</v>
      </c>
      <c r="Q32" s="129">
        <f t="shared" si="7"/>
        <v>2946.9713000000002</v>
      </c>
      <c r="R32" s="129">
        <f t="shared" si="18"/>
        <v>1388.0730000000008</v>
      </c>
      <c r="S32" s="129">
        <f t="shared" si="8"/>
        <v>3399.773000000001</v>
      </c>
      <c r="T32" s="128">
        <f t="shared" si="19"/>
        <v>1703.2443000000003</v>
      </c>
      <c r="U32" s="128">
        <f t="shared" si="9"/>
        <v>4171.7142999999996</v>
      </c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31"/>
      <c r="FY32" s="131"/>
      <c r="FZ32" s="131"/>
      <c r="GA32" s="131"/>
      <c r="GB32" s="131"/>
      <c r="GC32" s="131"/>
      <c r="GD32" s="131"/>
      <c r="GE32" s="131"/>
      <c r="GF32" s="131"/>
      <c r="GG32" s="131"/>
      <c r="GH32" s="131"/>
      <c r="GI32" s="131"/>
      <c r="GJ32" s="131"/>
      <c r="GK32" s="131"/>
      <c r="GL32" s="131"/>
      <c r="GM32" s="131"/>
      <c r="GN32" s="131"/>
      <c r="GO32" s="131"/>
      <c r="GP32" s="131"/>
      <c r="GQ32" s="131"/>
      <c r="GR32" s="131"/>
      <c r="GS32" s="131"/>
      <c r="GT32" s="131"/>
      <c r="GU32" s="131"/>
      <c r="GV32" s="131"/>
      <c r="GW32" s="131"/>
      <c r="GX32" s="131"/>
      <c r="GY32" s="131"/>
      <c r="GZ32" s="131"/>
      <c r="HA32" s="131"/>
      <c r="HB32" s="131"/>
      <c r="HC32" s="131"/>
      <c r="HD32" s="131"/>
      <c r="HE32" s="131"/>
      <c r="HF32" s="131"/>
      <c r="HG32" s="131"/>
      <c r="HH32" s="131"/>
      <c r="HI32" s="131"/>
      <c r="HJ32" s="131"/>
      <c r="HK32" s="131"/>
      <c r="HL32" s="131"/>
      <c r="HM32" s="131"/>
      <c r="HN32" s="131"/>
      <c r="HO32" s="131"/>
      <c r="HP32" s="131"/>
      <c r="HQ32" s="131"/>
      <c r="HR32" s="131"/>
      <c r="HS32" s="131"/>
      <c r="HT32" s="131"/>
      <c r="HU32" s="131"/>
      <c r="HV32" s="131"/>
      <c r="HW32" s="131"/>
      <c r="HX32" s="131"/>
      <c r="HY32" s="131"/>
      <c r="HZ32" s="131"/>
      <c r="IA32" s="131"/>
      <c r="IB32" s="131"/>
      <c r="IC32" s="131"/>
      <c r="ID32" s="131"/>
      <c r="IE32" s="131"/>
      <c r="IF32" s="131"/>
      <c r="IG32" s="131"/>
      <c r="IH32" s="131"/>
      <c r="II32" s="131"/>
      <c r="IJ32" s="131"/>
      <c r="IK32" s="131"/>
      <c r="IL32" s="131"/>
      <c r="IM32" s="131"/>
      <c r="IN32" s="131"/>
      <c r="IO32" s="131"/>
      <c r="IP32" s="131"/>
      <c r="IQ32" s="131"/>
      <c r="IR32" s="131"/>
      <c r="IS32" s="131"/>
      <c r="IT32" s="131"/>
      <c r="IU32" s="131"/>
      <c r="IV32" s="131"/>
    </row>
    <row r="33" spans="1:256" ht="15.75" customHeight="1" x14ac:dyDescent="0.2">
      <c r="A33" s="127" t="s">
        <v>80</v>
      </c>
      <c r="B33" s="128">
        <f t="shared" si="10"/>
        <v>543.52080000000012</v>
      </c>
      <c r="C33" s="128">
        <f t="shared" si="0"/>
        <v>1298.4108000000001</v>
      </c>
      <c r="D33" s="129">
        <f t="shared" si="11"/>
        <v>669.39120000000003</v>
      </c>
      <c r="E33" s="129">
        <f t="shared" si="1"/>
        <v>1599.1012000000001</v>
      </c>
      <c r="F33" s="128">
        <f t="shared" si="12"/>
        <v>732.04559999999969</v>
      </c>
      <c r="G33" s="128">
        <f t="shared" si="2"/>
        <v>1748.7755999999997</v>
      </c>
      <c r="H33" s="129">
        <f t="shared" si="13"/>
        <v>795.95280000000014</v>
      </c>
      <c r="I33" s="129">
        <f t="shared" si="3"/>
        <v>1901.4428000000003</v>
      </c>
      <c r="J33" s="128">
        <f t="shared" si="14"/>
        <v>895.6944000000002</v>
      </c>
      <c r="K33" s="128">
        <f t="shared" si="4"/>
        <v>2139.7144000000003</v>
      </c>
      <c r="L33" s="129">
        <f t="shared" si="15"/>
        <v>1018.1879999999998</v>
      </c>
      <c r="M33" s="129">
        <f t="shared" si="5"/>
        <v>2432.3379999999997</v>
      </c>
      <c r="N33" s="128">
        <f t="shared" si="16"/>
        <v>1207.2096000000001</v>
      </c>
      <c r="O33" s="128">
        <f t="shared" si="6"/>
        <v>2883.8896000000004</v>
      </c>
      <c r="P33" s="130">
        <f t="shared" si="17"/>
        <v>1255.5144</v>
      </c>
      <c r="Q33" s="129">
        <f t="shared" si="7"/>
        <v>2999.2844</v>
      </c>
      <c r="R33" s="129">
        <f t="shared" si="18"/>
        <v>1448.4240000000009</v>
      </c>
      <c r="S33" s="129">
        <f t="shared" si="8"/>
        <v>3460.1240000000007</v>
      </c>
      <c r="T33" s="128">
        <f t="shared" si="19"/>
        <v>1777.2984000000004</v>
      </c>
      <c r="U33" s="128">
        <f t="shared" si="9"/>
        <v>4245.7683999999999</v>
      </c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1"/>
      <c r="GM33" s="131"/>
      <c r="GN33" s="131"/>
      <c r="GO33" s="131"/>
      <c r="GP33" s="131"/>
      <c r="GQ33" s="131"/>
      <c r="GR33" s="131"/>
      <c r="GS33" s="131"/>
      <c r="GT33" s="131"/>
      <c r="GU33" s="131"/>
      <c r="GV33" s="131"/>
      <c r="GW33" s="131"/>
      <c r="GX33" s="131"/>
      <c r="GY33" s="131"/>
      <c r="GZ33" s="131"/>
      <c r="HA33" s="131"/>
      <c r="HB33" s="131"/>
      <c r="HC33" s="131"/>
      <c r="HD33" s="131"/>
      <c r="HE33" s="131"/>
      <c r="HF33" s="131"/>
      <c r="HG33" s="131"/>
      <c r="HH33" s="131"/>
      <c r="HI33" s="131"/>
      <c r="HJ33" s="131"/>
      <c r="HK33" s="131"/>
      <c r="HL33" s="131"/>
      <c r="HM33" s="131"/>
      <c r="HN33" s="131"/>
      <c r="HO33" s="131"/>
      <c r="HP33" s="131"/>
      <c r="HQ33" s="131"/>
      <c r="HR33" s="131"/>
      <c r="HS33" s="131"/>
      <c r="HT33" s="131"/>
      <c r="HU33" s="131"/>
      <c r="HV33" s="131"/>
      <c r="HW33" s="131"/>
      <c r="HX33" s="131"/>
      <c r="HY33" s="131"/>
      <c r="HZ33" s="131"/>
      <c r="IA33" s="131"/>
      <c r="IB33" s="131"/>
      <c r="IC33" s="131"/>
      <c r="ID33" s="131"/>
      <c r="IE33" s="131"/>
      <c r="IF33" s="131"/>
      <c r="IG33" s="131"/>
      <c r="IH33" s="131"/>
      <c r="II33" s="131"/>
      <c r="IJ33" s="131"/>
      <c r="IK33" s="131"/>
      <c r="IL33" s="131"/>
      <c r="IM33" s="131"/>
      <c r="IN33" s="131"/>
      <c r="IO33" s="131"/>
      <c r="IP33" s="131"/>
      <c r="IQ33" s="131"/>
      <c r="IR33" s="131"/>
      <c r="IS33" s="131"/>
      <c r="IT33" s="131"/>
      <c r="IU33" s="131"/>
      <c r="IV33" s="131"/>
    </row>
    <row r="34" spans="1:256" ht="15.75" customHeight="1" x14ac:dyDescent="0.2">
      <c r="A34" s="127" t="s">
        <v>81</v>
      </c>
      <c r="B34" s="128">
        <f t="shared" si="10"/>
        <v>566.16750000000013</v>
      </c>
      <c r="C34" s="128">
        <f t="shared" si="0"/>
        <v>1321.0575000000001</v>
      </c>
      <c r="D34" s="129">
        <f t="shared" si="11"/>
        <v>697.28250000000003</v>
      </c>
      <c r="E34" s="129">
        <f t="shared" si="1"/>
        <v>1626.9925000000001</v>
      </c>
      <c r="F34" s="128">
        <f t="shared" si="12"/>
        <v>762.54749999999967</v>
      </c>
      <c r="G34" s="128">
        <f t="shared" si="2"/>
        <v>1779.2774999999997</v>
      </c>
      <c r="H34" s="129">
        <f t="shared" si="13"/>
        <v>829.11750000000018</v>
      </c>
      <c r="I34" s="129">
        <f t="shared" si="3"/>
        <v>1934.6075000000001</v>
      </c>
      <c r="J34" s="128">
        <f t="shared" si="14"/>
        <v>933.01500000000021</v>
      </c>
      <c r="K34" s="128">
        <f t="shared" si="4"/>
        <v>2177.0350000000003</v>
      </c>
      <c r="L34" s="129">
        <f t="shared" si="15"/>
        <v>1060.6124999999997</v>
      </c>
      <c r="M34" s="129">
        <f t="shared" si="5"/>
        <v>2474.7624999999998</v>
      </c>
      <c r="N34" s="128">
        <f t="shared" si="16"/>
        <v>1257.5100000000002</v>
      </c>
      <c r="O34" s="128">
        <f t="shared" si="6"/>
        <v>2934.1900000000005</v>
      </c>
      <c r="P34" s="130">
        <f t="shared" si="17"/>
        <v>1307.8275000000001</v>
      </c>
      <c r="Q34" s="129">
        <f t="shared" si="7"/>
        <v>3051.5974999999999</v>
      </c>
      <c r="R34" s="129">
        <f t="shared" si="18"/>
        <v>1508.775000000001</v>
      </c>
      <c r="S34" s="129">
        <f t="shared" si="8"/>
        <v>3520.4750000000013</v>
      </c>
      <c r="T34" s="128">
        <f t="shared" si="19"/>
        <v>1851.3525000000004</v>
      </c>
      <c r="U34" s="128">
        <f t="shared" si="9"/>
        <v>4319.8225000000002</v>
      </c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1"/>
      <c r="IP34" s="131"/>
      <c r="IQ34" s="131"/>
      <c r="IR34" s="131"/>
      <c r="IS34" s="131"/>
      <c r="IT34" s="131"/>
      <c r="IU34" s="131"/>
      <c r="IV34" s="131"/>
    </row>
  </sheetData>
  <pageMargins left="0.59027777777777801" right="0.59027777777777801" top="0.40277777777777801" bottom="0.40277777777777801" header="0.165277777777778" footer="0.165277777777778"/>
  <pageSetup paperSize="0" scale="0" firstPageNumber="0" orientation="portrait" usePrinterDefaults="0" horizontalDpi="0" verticalDpi="0" copies="0"/>
  <headerFooter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2"/>
  <sheetViews>
    <sheetView topLeftCell="B1" zoomScaleNormal="100" workbookViewId="0">
      <selection activeCell="I7" sqref="I7"/>
    </sheetView>
  </sheetViews>
  <sheetFormatPr baseColWidth="10" defaultColWidth="9.140625" defaultRowHeight="12.75" x14ac:dyDescent="0.2"/>
  <cols>
    <col min="1" max="1" width="0" hidden="1"/>
    <col min="2" max="2" width="25"/>
    <col min="3" max="12" width="12.5703125"/>
    <col min="13" max="13" width="14"/>
    <col min="14" max="14" width="5.7109375"/>
    <col min="15" max="256" width="11.28515625"/>
    <col min="257" max="1025" width="11.5703125"/>
  </cols>
  <sheetData>
    <row r="1" spans="1:256" x14ac:dyDescent="0.2">
      <c r="A1" s="1"/>
      <c r="B1" s="1"/>
      <c r="C1" s="2"/>
      <c r="D1" s="3"/>
      <c r="E1" s="2"/>
      <c r="F1" s="3"/>
      <c r="G1" s="2"/>
      <c r="H1" s="3"/>
      <c r="I1" s="3"/>
      <c r="J1" s="3"/>
      <c r="K1" s="3"/>
      <c r="L1" s="3"/>
      <c r="M1" s="2"/>
      <c r="N1" s="2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x14ac:dyDescent="0.25">
      <c r="A2" s="5"/>
      <c r="B2" s="6">
        <v>1936.27</v>
      </c>
      <c r="C2" s="7" t="s">
        <v>0</v>
      </c>
      <c r="D2" s="8" t="s">
        <v>1</v>
      </c>
      <c r="E2" s="9" t="s">
        <v>2</v>
      </c>
      <c r="F2" s="8" t="s">
        <v>3</v>
      </c>
      <c r="G2" s="9" t="s">
        <v>4</v>
      </c>
      <c r="H2" s="8" t="s">
        <v>41</v>
      </c>
      <c r="I2" s="9" t="s">
        <v>5</v>
      </c>
      <c r="J2" s="8" t="s">
        <v>6</v>
      </c>
      <c r="K2" s="9" t="s">
        <v>7</v>
      </c>
      <c r="L2" s="8" t="s">
        <v>8</v>
      </c>
      <c r="M2" s="36" t="s">
        <v>42</v>
      </c>
      <c r="N2" s="30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" x14ac:dyDescent="0.2">
      <c r="A3" s="12"/>
      <c r="B3" s="13" t="s">
        <v>10</v>
      </c>
      <c r="C3" s="14"/>
      <c r="D3" s="15"/>
      <c r="E3" s="14"/>
      <c r="F3" s="15"/>
      <c r="G3" s="14"/>
      <c r="H3" s="15"/>
      <c r="I3" s="15"/>
      <c r="J3" s="15"/>
      <c r="K3" s="15"/>
      <c r="L3" s="15"/>
      <c r="M3" s="31"/>
      <c r="N3" s="3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15.75" x14ac:dyDescent="0.25">
      <c r="A4" s="17"/>
      <c r="B4" s="18" t="s">
        <v>11</v>
      </c>
      <c r="C4" s="19">
        <v>8496684</v>
      </c>
      <c r="D4" s="20">
        <v>9838032</v>
      </c>
      <c r="E4" s="19">
        <v>11430912</v>
      </c>
      <c r="F4" s="20">
        <v>12828156</v>
      </c>
      <c r="G4" s="19">
        <v>14700468</v>
      </c>
      <c r="H4" s="20">
        <v>15631968</v>
      </c>
      <c r="I4" s="19">
        <v>16251420</v>
      </c>
      <c r="J4" s="20">
        <v>19045920</v>
      </c>
      <c r="K4" s="19">
        <v>25249716</v>
      </c>
      <c r="L4" s="20">
        <v>35226072</v>
      </c>
      <c r="M4" s="19">
        <v>55890000</v>
      </c>
      <c r="N4" s="33" t="s">
        <v>12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15" x14ac:dyDescent="0.2">
      <c r="A5" s="22"/>
      <c r="B5" s="23">
        <v>1</v>
      </c>
      <c r="C5" s="24">
        <f t="shared" ref="C5:C12" si="0">($C$4*0.06*B5)+$C$4</f>
        <v>9006485.0399999991</v>
      </c>
      <c r="D5" s="25">
        <f t="shared" ref="D5:D12" si="1">($D$4*0.06*B5)+$D$4</f>
        <v>10428313.92</v>
      </c>
      <c r="E5" s="24">
        <f t="shared" ref="E5:E12" si="2">($E$4*0.06*B5)+$E$4</f>
        <v>12116766.720000001</v>
      </c>
      <c r="F5" s="25">
        <f t="shared" ref="F5:F12" si="3">($F$4*0.06*$B5)+$F$4</f>
        <v>13597845.359999999</v>
      </c>
      <c r="G5" s="24">
        <f t="shared" ref="G5:G12" si="4">($G$4*0.06*$B5)+$G$4</f>
        <v>15582496.08</v>
      </c>
      <c r="H5" s="25">
        <f t="shared" ref="H5:H12" si="5">($H$4*0.06*$B5)+$H$4</f>
        <v>16569886.08</v>
      </c>
      <c r="I5" s="24">
        <f t="shared" ref="I5:I12" si="6">($I$4*0.06*$B5)+$I$4</f>
        <v>17226505.199999999</v>
      </c>
      <c r="J5" s="25">
        <f t="shared" ref="J5:J12" si="7">($J$4*0.06*$B5)+$J$4</f>
        <v>20188675.199999999</v>
      </c>
      <c r="K5" s="24">
        <f t="shared" ref="K5:K12" si="8">($K$4*0.06*$B5)+$K$4</f>
        <v>26764698.960000001</v>
      </c>
      <c r="L5" s="25">
        <f t="shared" ref="L5:L12" si="9">($L$4*0.06*$B5)+$L$4</f>
        <v>37339636.32</v>
      </c>
      <c r="M5" s="24">
        <f t="shared" ref="M5:M12" si="10">($M$4*0.06*$B5)+$M$4</f>
        <v>59243400</v>
      </c>
      <c r="N5" s="34" t="s">
        <v>13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15" x14ac:dyDescent="0.2">
      <c r="A6" s="22"/>
      <c r="B6" s="23">
        <v>2</v>
      </c>
      <c r="C6" s="24">
        <f t="shared" si="0"/>
        <v>9516286.0800000001</v>
      </c>
      <c r="D6" s="25">
        <f t="shared" si="1"/>
        <v>11018595.84</v>
      </c>
      <c r="E6" s="24">
        <f t="shared" si="2"/>
        <v>12802621.439999999</v>
      </c>
      <c r="F6" s="25">
        <f t="shared" si="3"/>
        <v>14367534.720000001</v>
      </c>
      <c r="G6" s="24">
        <f t="shared" si="4"/>
        <v>16464524.16</v>
      </c>
      <c r="H6" s="25">
        <f t="shared" si="5"/>
        <v>17507804.16</v>
      </c>
      <c r="I6" s="24">
        <f t="shared" si="6"/>
        <v>18201590.399999999</v>
      </c>
      <c r="J6" s="25">
        <f t="shared" si="7"/>
        <v>21331430.399999999</v>
      </c>
      <c r="K6" s="24">
        <f t="shared" si="8"/>
        <v>28279681.920000002</v>
      </c>
      <c r="L6" s="25">
        <f t="shared" si="9"/>
        <v>39453200.640000001</v>
      </c>
      <c r="M6" s="24">
        <f t="shared" si="10"/>
        <v>62596800</v>
      </c>
      <c r="N6" s="35" t="s">
        <v>14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15" x14ac:dyDescent="0.2">
      <c r="A7" s="22"/>
      <c r="B7" s="23">
        <v>3</v>
      </c>
      <c r="C7" s="24">
        <f t="shared" si="0"/>
        <v>10026087.119999999</v>
      </c>
      <c r="D7" s="25">
        <f t="shared" si="1"/>
        <v>11608877.76</v>
      </c>
      <c r="E7" s="24">
        <f t="shared" si="2"/>
        <v>13488476.16</v>
      </c>
      <c r="F7" s="25">
        <f t="shared" si="3"/>
        <v>15137224.08</v>
      </c>
      <c r="G7" s="24">
        <f t="shared" si="4"/>
        <v>17346552.239999998</v>
      </c>
      <c r="H7" s="25">
        <f t="shared" si="5"/>
        <v>18445722.239999998</v>
      </c>
      <c r="I7" s="24">
        <f t="shared" si="6"/>
        <v>19176675.600000001</v>
      </c>
      <c r="J7" s="25">
        <f t="shared" si="7"/>
        <v>22474185.600000001</v>
      </c>
      <c r="K7" s="24">
        <f t="shared" si="8"/>
        <v>29794664.879999999</v>
      </c>
      <c r="L7" s="25">
        <f t="shared" si="9"/>
        <v>41566764.960000001</v>
      </c>
      <c r="M7" s="24">
        <f t="shared" si="10"/>
        <v>65950200</v>
      </c>
      <c r="N7" s="34" t="s">
        <v>15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ht="15" x14ac:dyDescent="0.2">
      <c r="A8" s="22"/>
      <c r="B8" s="23">
        <v>4</v>
      </c>
      <c r="C8" s="24">
        <f t="shared" si="0"/>
        <v>10535888.16</v>
      </c>
      <c r="D8" s="25">
        <f t="shared" si="1"/>
        <v>12199159.68</v>
      </c>
      <c r="E8" s="24">
        <f t="shared" si="2"/>
        <v>14174330.879999999</v>
      </c>
      <c r="F8" s="25">
        <f t="shared" si="3"/>
        <v>15906913.439999999</v>
      </c>
      <c r="G8" s="24">
        <f t="shared" si="4"/>
        <v>18228580.32</v>
      </c>
      <c r="H8" s="25">
        <f t="shared" si="5"/>
        <v>19383640.32</v>
      </c>
      <c r="I8" s="24">
        <f t="shared" si="6"/>
        <v>20151760.800000001</v>
      </c>
      <c r="J8" s="25">
        <f t="shared" si="7"/>
        <v>23616940.800000001</v>
      </c>
      <c r="K8" s="24">
        <f t="shared" si="8"/>
        <v>31309647.84</v>
      </c>
      <c r="L8" s="25">
        <f t="shared" si="9"/>
        <v>43680329.280000001</v>
      </c>
      <c r="M8" s="24">
        <f t="shared" si="10"/>
        <v>69303600</v>
      </c>
      <c r="N8" s="34" t="s">
        <v>17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ht="15" x14ac:dyDescent="0.2">
      <c r="A9" s="22"/>
      <c r="B9" s="23">
        <v>5</v>
      </c>
      <c r="C9" s="24">
        <f t="shared" si="0"/>
        <v>11045689.199999999</v>
      </c>
      <c r="D9" s="25">
        <f t="shared" si="1"/>
        <v>12789441.6</v>
      </c>
      <c r="E9" s="24">
        <f t="shared" si="2"/>
        <v>14860185.6</v>
      </c>
      <c r="F9" s="25">
        <f t="shared" si="3"/>
        <v>16676602.800000001</v>
      </c>
      <c r="G9" s="24">
        <f t="shared" si="4"/>
        <v>19110608.399999999</v>
      </c>
      <c r="H9" s="25">
        <f t="shared" si="5"/>
        <v>20321558.399999999</v>
      </c>
      <c r="I9" s="24">
        <f t="shared" si="6"/>
        <v>21126846</v>
      </c>
      <c r="J9" s="25">
        <f t="shared" si="7"/>
        <v>24759696</v>
      </c>
      <c r="K9" s="24">
        <f t="shared" si="8"/>
        <v>32824630.800000001</v>
      </c>
      <c r="L9" s="25">
        <f t="shared" si="9"/>
        <v>45793893.600000001</v>
      </c>
      <c r="M9" s="24">
        <f t="shared" si="10"/>
        <v>72657000</v>
      </c>
      <c r="N9" s="34" t="s">
        <v>18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pans="1:256" ht="15" x14ac:dyDescent="0.2">
      <c r="A10" s="22"/>
      <c r="B10" s="23">
        <v>6</v>
      </c>
      <c r="C10" s="24">
        <f t="shared" si="0"/>
        <v>11555490.24</v>
      </c>
      <c r="D10" s="25">
        <f t="shared" si="1"/>
        <v>13379723.52</v>
      </c>
      <c r="E10" s="24">
        <f t="shared" si="2"/>
        <v>15546040.32</v>
      </c>
      <c r="F10" s="25">
        <f t="shared" si="3"/>
        <v>17446292.16</v>
      </c>
      <c r="G10" s="24">
        <f t="shared" si="4"/>
        <v>19992636.48</v>
      </c>
      <c r="H10" s="25">
        <f t="shared" si="5"/>
        <v>21259476.48</v>
      </c>
      <c r="I10" s="24">
        <f t="shared" si="6"/>
        <v>22101931.199999999</v>
      </c>
      <c r="J10" s="25">
        <f t="shared" si="7"/>
        <v>25902451.199999999</v>
      </c>
      <c r="K10" s="24">
        <f t="shared" si="8"/>
        <v>34339613.759999998</v>
      </c>
      <c r="L10" s="25">
        <f t="shared" si="9"/>
        <v>47907457.920000002</v>
      </c>
      <c r="M10" s="24">
        <f t="shared" si="10"/>
        <v>76010400</v>
      </c>
      <c r="N10" s="34" t="s">
        <v>19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ht="15" x14ac:dyDescent="0.2">
      <c r="A11" s="22"/>
      <c r="B11" s="23">
        <v>7</v>
      </c>
      <c r="C11" s="24">
        <f t="shared" si="0"/>
        <v>12065291.279999999</v>
      </c>
      <c r="D11" s="25">
        <f t="shared" si="1"/>
        <v>13970005.439999999</v>
      </c>
      <c r="E11" s="24">
        <f t="shared" si="2"/>
        <v>16231895.039999999</v>
      </c>
      <c r="F11" s="25">
        <f t="shared" si="3"/>
        <v>18215981.52</v>
      </c>
      <c r="G11" s="24">
        <f t="shared" si="4"/>
        <v>20874664.559999999</v>
      </c>
      <c r="H11" s="25">
        <f t="shared" si="5"/>
        <v>22197394.559999999</v>
      </c>
      <c r="I11" s="24">
        <f t="shared" si="6"/>
        <v>23077016.399999999</v>
      </c>
      <c r="J11" s="25">
        <f t="shared" si="7"/>
        <v>27045206.399999999</v>
      </c>
      <c r="K11" s="24">
        <f t="shared" si="8"/>
        <v>35854596.719999999</v>
      </c>
      <c r="L11" s="25">
        <f t="shared" si="9"/>
        <v>50021022.239999995</v>
      </c>
      <c r="M11" s="24">
        <f t="shared" si="10"/>
        <v>79363800</v>
      </c>
      <c r="N11" s="34" t="s">
        <v>20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" x14ac:dyDescent="0.2">
      <c r="A12" s="22"/>
      <c r="B12" s="23">
        <v>8</v>
      </c>
      <c r="C12" s="24">
        <f t="shared" si="0"/>
        <v>12575092.32</v>
      </c>
      <c r="D12" s="25">
        <f t="shared" si="1"/>
        <v>14560287.359999999</v>
      </c>
      <c r="E12" s="24">
        <f t="shared" si="2"/>
        <v>16917749.759999998</v>
      </c>
      <c r="F12" s="25">
        <f t="shared" si="3"/>
        <v>18985670.879999999</v>
      </c>
      <c r="G12" s="24">
        <f t="shared" si="4"/>
        <v>21756692.640000001</v>
      </c>
      <c r="H12" s="25">
        <f t="shared" si="5"/>
        <v>23135312.640000001</v>
      </c>
      <c r="I12" s="24">
        <f t="shared" si="6"/>
        <v>24052101.600000001</v>
      </c>
      <c r="J12" s="25">
        <f t="shared" si="7"/>
        <v>28187961.600000001</v>
      </c>
      <c r="K12" s="24">
        <f t="shared" si="8"/>
        <v>37369579.68</v>
      </c>
      <c r="L12" s="25">
        <f t="shared" si="9"/>
        <v>52134586.560000002</v>
      </c>
      <c r="M12" s="24">
        <f t="shared" si="10"/>
        <v>82717200</v>
      </c>
      <c r="N12" s="34" t="s">
        <v>21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ht="15" x14ac:dyDescent="0.2">
      <c r="A13" s="22"/>
      <c r="B13" s="23">
        <v>9</v>
      </c>
      <c r="C13" s="24">
        <f>($C$4*151.7/100)</f>
        <v>12889469.627999999</v>
      </c>
      <c r="D13" s="25">
        <f>($D$4*151.7/100)</f>
        <v>14924294.543999998</v>
      </c>
      <c r="E13" s="24">
        <f t="shared" ref="E13:L13" si="11">(E$4*151.7/100)</f>
        <v>17340693.503999997</v>
      </c>
      <c r="F13" s="25">
        <f t="shared" si="11"/>
        <v>19460312.651999999</v>
      </c>
      <c r="G13" s="24">
        <f t="shared" si="11"/>
        <v>22300609.956</v>
      </c>
      <c r="H13" s="25">
        <f t="shared" si="11"/>
        <v>23713695.456</v>
      </c>
      <c r="I13" s="24">
        <f t="shared" si="11"/>
        <v>24653404.140000001</v>
      </c>
      <c r="J13" s="25">
        <f t="shared" si="11"/>
        <v>28892660.640000001</v>
      </c>
      <c r="K13" s="24">
        <f t="shared" si="11"/>
        <v>38303819.171999998</v>
      </c>
      <c r="L13" s="25">
        <f t="shared" si="11"/>
        <v>53437951.223999999</v>
      </c>
      <c r="M13" s="24">
        <v>84020565</v>
      </c>
      <c r="N13" s="34" t="s">
        <v>22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15" x14ac:dyDescent="0.2">
      <c r="A14" s="22">
        <v>1</v>
      </c>
      <c r="B14" s="23">
        <v>10</v>
      </c>
      <c r="C14" s="24">
        <f>(C$4*(151.7+(3.7*$A$14))/100)</f>
        <v>13203846.935999999</v>
      </c>
      <c r="D14" s="25">
        <f t="shared" ref="D14:D32" si="12">(D$4*(151.7+(3.7*$A14))/100)</f>
        <v>15288301.727999996</v>
      </c>
      <c r="E14" s="24">
        <f t="shared" ref="E14:E32" si="13">(E$4*(151.7+(3.7*A14))/100)</f>
        <v>17763637.247999996</v>
      </c>
      <c r="F14" s="25">
        <f t="shared" ref="F14:F32" si="14">(F$4*(151.7+(3.7*A14))/100)</f>
        <v>19934954.423999995</v>
      </c>
      <c r="G14" s="24">
        <f t="shared" ref="G14:G32" si="15">(G$4*(151.7+(3.7*A14))/100)</f>
        <v>22844527.272</v>
      </c>
      <c r="H14" s="25">
        <f t="shared" ref="H14:H32" si="16">(H$4*(151.7+(3.7*A14))/100)</f>
        <v>24292078.272</v>
      </c>
      <c r="I14" s="24">
        <f t="shared" ref="I14:I32" si="17">(I$4*(151.7+(3.7*A14))/100)</f>
        <v>25254706.679999996</v>
      </c>
      <c r="J14" s="25">
        <f t="shared" ref="J14:J32" si="18">(J$4*(151.7+(3.7*A14))/100)</f>
        <v>29597359.679999996</v>
      </c>
      <c r="K14" s="24">
        <f t="shared" ref="K14:K32" si="19">(K$4*(151.7+(3.7*A14))/100)</f>
        <v>39238058.663999997</v>
      </c>
      <c r="L14" s="25">
        <f t="shared" ref="L14:L32" si="20">(L$4*(151.7+(3.7*A14))/100)</f>
        <v>54741315.887999989</v>
      </c>
      <c r="M14" s="24">
        <v>85323929</v>
      </c>
      <c r="N14" s="34" t="s">
        <v>23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5" x14ac:dyDescent="0.2">
      <c r="A15" s="22">
        <v>2</v>
      </c>
      <c r="B15" s="23">
        <v>11</v>
      </c>
      <c r="C15" s="24">
        <f t="shared" ref="C15:C32" si="21">($C$4*(151.7+(3.7*A15))/100)</f>
        <v>13518224.243999999</v>
      </c>
      <c r="D15" s="25">
        <f t="shared" si="12"/>
        <v>15652308.912</v>
      </c>
      <c r="E15" s="24">
        <f t="shared" si="13"/>
        <v>18186580.991999999</v>
      </c>
      <c r="F15" s="25">
        <f t="shared" si="14"/>
        <v>20409596.195999999</v>
      </c>
      <c r="G15" s="24">
        <f t="shared" si="15"/>
        <v>23388444.587999996</v>
      </c>
      <c r="H15" s="25">
        <f t="shared" si="16"/>
        <v>24870461.087999996</v>
      </c>
      <c r="I15" s="24">
        <f t="shared" si="17"/>
        <v>25856009.219999999</v>
      </c>
      <c r="J15" s="25">
        <f t="shared" si="18"/>
        <v>30302058.719999999</v>
      </c>
      <c r="K15" s="24">
        <f t="shared" si="19"/>
        <v>40172298.155999996</v>
      </c>
      <c r="L15" s="25">
        <f t="shared" si="20"/>
        <v>56044680.552000001</v>
      </c>
      <c r="M15" s="24">
        <v>86627294</v>
      </c>
      <c r="N15" s="34" t="s">
        <v>24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15" x14ac:dyDescent="0.2">
      <c r="A16" s="22">
        <v>3</v>
      </c>
      <c r="B16" s="23">
        <v>12</v>
      </c>
      <c r="C16" s="24">
        <f t="shared" si="21"/>
        <v>13832601.551999997</v>
      </c>
      <c r="D16" s="25">
        <f t="shared" si="12"/>
        <v>16016316.095999999</v>
      </c>
      <c r="E16" s="24">
        <f t="shared" si="13"/>
        <v>18609524.735999998</v>
      </c>
      <c r="F16" s="25">
        <f t="shared" si="14"/>
        <v>20884237.967999998</v>
      </c>
      <c r="G16" s="24">
        <f t="shared" si="15"/>
        <v>23932361.903999995</v>
      </c>
      <c r="H16" s="25">
        <f t="shared" si="16"/>
        <v>25448843.903999995</v>
      </c>
      <c r="I16" s="24">
        <f t="shared" si="17"/>
        <v>26457311.759999994</v>
      </c>
      <c r="J16" s="25">
        <f t="shared" si="18"/>
        <v>31006757.759999994</v>
      </c>
      <c r="K16" s="24">
        <f t="shared" si="19"/>
        <v>41106537.647999994</v>
      </c>
      <c r="L16" s="25">
        <f t="shared" si="20"/>
        <v>57348045.215999991</v>
      </c>
      <c r="M16" s="24">
        <v>87930659</v>
      </c>
      <c r="N16" s="34" t="s">
        <v>25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5" x14ac:dyDescent="0.2">
      <c r="A17" s="22">
        <v>4</v>
      </c>
      <c r="B17" s="23">
        <v>13</v>
      </c>
      <c r="C17" s="24">
        <f t="shared" si="21"/>
        <v>14146978.859999999</v>
      </c>
      <c r="D17" s="25">
        <f t="shared" si="12"/>
        <v>16380323.279999999</v>
      </c>
      <c r="E17" s="24">
        <f t="shared" si="13"/>
        <v>19032468.48</v>
      </c>
      <c r="F17" s="25">
        <f t="shared" si="14"/>
        <v>21358879.739999998</v>
      </c>
      <c r="G17" s="24">
        <f t="shared" si="15"/>
        <v>24476279.219999999</v>
      </c>
      <c r="H17" s="25">
        <f t="shared" si="16"/>
        <v>26027226.719999999</v>
      </c>
      <c r="I17" s="24">
        <f t="shared" si="17"/>
        <v>27058614.300000001</v>
      </c>
      <c r="J17" s="25">
        <f t="shared" si="18"/>
        <v>31711456.800000001</v>
      </c>
      <c r="K17" s="24">
        <f t="shared" si="19"/>
        <v>42040777.140000001</v>
      </c>
      <c r="L17" s="25">
        <f t="shared" si="20"/>
        <v>58651409.880000003</v>
      </c>
      <c r="M17" s="24">
        <v>89234023</v>
      </c>
      <c r="N17" s="34" t="s">
        <v>26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5" x14ac:dyDescent="0.2">
      <c r="A18" s="22">
        <v>5</v>
      </c>
      <c r="B18" s="23">
        <v>14</v>
      </c>
      <c r="C18" s="24">
        <f t="shared" si="21"/>
        <v>14461356.168</v>
      </c>
      <c r="D18" s="25">
        <f t="shared" si="12"/>
        <v>16744330.463999998</v>
      </c>
      <c r="E18" s="24">
        <f t="shared" si="13"/>
        <v>19455412.223999999</v>
      </c>
      <c r="F18" s="25">
        <f t="shared" si="14"/>
        <v>21833521.511999998</v>
      </c>
      <c r="G18" s="24">
        <f t="shared" si="15"/>
        <v>25020196.535999998</v>
      </c>
      <c r="H18" s="25">
        <f t="shared" si="16"/>
        <v>26605609.535999998</v>
      </c>
      <c r="I18" s="24">
        <f t="shared" si="17"/>
        <v>27659916.84</v>
      </c>
      <c r="J18" s="25">
        <f t="shared" si="18"/>
        <v>32416155.84</v>
      </c>
      <c r="K18" s="24">
        <f t="shared" si="19"/>
        <v>42975016.631999999</v>
      </c>
      <c r="L18" s="25">
        <f t="shared" si="20"/>
        <v>59954774.544</v>
      </c>
      <c r="M18" s="24">
        <v>90537388</v>
      </c>
      <c r="N18" s="34" t="s">
        <v>27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15" x14ac:dyDescent="0.2">
      <c r="A19" s="22">
        <v>6</v>
      </c>
      <c r="B19" s="23">
        <v>15</v>
      </c>
      <c r="C19" s="24">
        <f t="shared" si="21"/>
        <v>14775733.476</v>
      </c>
      <c r="D19" s="25">
        <f t="shared" si="12"/>
        <v>17108337.647999998</v>
      </c>
      <c r="E19" s="24">
        <f t="shared" si="13"/>
        <v>19878355.967999998</v>
      </c>
      <c r="F19" s="25">
        <f t="shared" si="14"/>
        <v>22308163.283999994</v>
      </c>
      <c r="G19" s="24">
        <f t="shared" si="15"/>
        <v>25564113.851999998</v>
      </c>
      <c r="H19" s="25">
        <f t="shared" si="16"/>
        <v>27183992.351999998</v>
      </c>
      <c r="I19" s="24">
        <f t="shared" si="17"/>
        <v>28261219.379999995</v>
      </c>
      <c r="J19" s="25">
        <f t="shared" si="18"/>
        <v>33120854.879999995</v>
      </c>
      <c r="K19" s="24">
        <f t="shared" si="19"/>
        <v>43909256.123999998</v>
      </c>
      <c r="L19" s="25">
        <f t="shared" si="20"/>
        <v>61258139.207999989</v>
      </c>
      <c r="M19" s="24">
        <v>91840753</v>
      </c>
      <c r="N19" s="34" t="s">
        <v>28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15" x14ac:dyDescent="0.2">
      <c r="A20" s="22">
        <v>7</v>
      </c>
      <c r="B20" s="23">
        <v>16</v>
      </c>
      <c r="C20" s="24">
        <f t="shared" si="21"/>
        <v>15090110.783999998</v>
      </c>
      <c r="D20" s="25">
        <f t="shared" si="12"/>
        <v>17472344.832000002</v>
      </c>
      <c r="E20" s="24">
        <f t="shared" si="13"/>
        <v>20301299.712000001</v>
      </c>
      <c r="F20" s="25">
        <f t="shared" si="14"/>
        <v>22782805.055999998</v>
      </c>
      <c r="G20" s="24">
        <f t="shared" si="15"/>
        <v>26108031.167999998</v>
      </c>
      <c r="H20" s="25">
        <f t="shared" si="16"/>
        <v>27762375.167999998</v>
      </c>
      <c r="I20" s="24">
        <f t="shared" si="17"/>
        <v>28862521.920000002</v>
      </c>
      <c r="J20" s="25">
        <f t="shared" si="18"/>
        <v>33825553.920000002</v>
      </c>
      <c r="K20" s="24">
        <f t="shared" si="19"/>
        <v>44843495.615999997</v>
      </c>
      <c r="L20" s="25">
        <f t="shared" si="20"/>
        <v>62561503.872000001</v>
      </c>
      <c r="M20" s="24">
        <v>93144117</v>
      </c>
      <c r="N20" s="34" t="s">
        <v>29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15" x14ac:dyDescent="0.2">
      <c r="A21" s="22">
        <v>8</v>
      </c>
      <c r="B21" s="23">
        <v>17</v>
      </c>
      <c r="C21" s="24">
        <f t="shared" si="21"/>
        <v>15404488.091999998</v>
      </c>
      <c r="D21" s="25">
        <f t="shared" si="12"/>
        <v>17836352.015999999</v>
      </c>
      <c r="E21" s="24">
        <f t="shared" si="13"/>
        <v>20724243.456</v>
      </c>
      <c r="F21" s="25">
        <f t="shared" si="14"/>
        <v>23257446.827999998</v>
      </c>
      <c r="G21" s="24">
        <f t="shared" si="15"/>
        <v>26651948.483999997</v>
      </c>
      <c r="H21" s="25">
        <f t="shared" si="16"/>
        <v>28340757.983999997</v>
      </c>
      <c r="I21" s="24">
        <f t="shared" si="17"/>
        <v>29463824.459999993</v>
      </c>
      <c r="J21" s="25">
        <f t="shared" si="18"/>
        <v>34530252.959999993</v>
      </c>
      <c r="K21" s="24">
        <f t="shared" si="19"/>
        <v>45777735.107999995</v>
      </c>
      <c r="L21" s="25">
        <f t="shared" si="20"/>
        <v>63864868.535999991</v>
      </c>
      <c r="M21" s="24">
        <v>94447482</v>
      </c>
      <c r="N21" s="34" t="s">
        <v>30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15" x14ac:dyDescent="0.2">
      <c r="A22" s="22">
        <v>9</v>
      </c>
      <c r="B22" s="23">
        <v>18</v>
      </c>
      <c r="C22" s="24">
        <f t="shared" si="21"/>
        <v>15718865.4</v>
      </c>
      <c r="D22" s="25">
        <f t="shared" si="12"/>
        <v>18200359.199999999</v>
      </c>
      <c r="E22" s="24">
        <f t="shared" si="13"/>
        <v>21147187.199999999</v>
      </c>
      <c r="F22" s="25">
        <f t="shared" si="14"/>
        <v>23732088.600000001</v>
      </c>
      <c r="G22" s="24">
        <f t="shared" si="15"/>
        <v>27195865.800000001</v>
      </c>
      <c r="H22" s="25">
        <f t="shared" si="16"/>
        <v>28919140.800000001</v>
      </c>
      <c r="I22" s="24">
        <f t="shared" si="17"/>
        <v>30065127</v>
      </c>
      <c r="J22" s="25">
        <f t="shared" si="18"/>
        <v>35234952</v>
      </c>
      <c r="K22" s="24">
        <f t="shared" si="19"/>
        <v>46711974.600000001</v>
      </c>
      <c r="L22" s="25">
        <f t="shared" si="20"/>
        <v>65168233.200000003</v>
      </c>
      <c r="M22" s="24">
        <v>95750847</v>
      </c>
      <c r="N22" s="34" t="s">
        <v>31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15" x14ac:dyDescent="0.2">
      <c r="A23" s="22">
        <v>10</v>
      </c>
      <c r="B23" s="23">
        <v>19</v>
      </c>
      <c r="C23" s="24">
        <f t="shared" si="21"/>
        <v>16033242.707999999</v>
      </c>
      <c r="D23" s="25">
        <f t="shared" si="12"/>
        <v>18564366.384</v>
      </c>
      <c r="E23" s="24">
        <f t="shared" si="13"/>
        <v>21570130.944000002</v>
      </c>
      <c r="F23" s="25">
        <f t="shared" si="14"/>
        <v>24206730.371999998</v>
      </c>
      <c r="G23" s="24">
        <f t="shared" si="15"/>
        <v>27739783.116</v>
      </c>
      <c r="H23" s="25">
        <f t="shared" si="16"/>
        <v>29497523.616</v>
      </c>
      <c r="I23" s="24">
        <f t="shared" si="17"/>
        <v>30666429.539999999</v>
      </c>
      <c r="J23" s="25">
        <f t="shared" si="18"/>
        <v>35939651.039999999</v>
      </c>
      <c r="K23" s="24">
        <f t="shared" si="19"/>
        <v>47646214.092</v>
      </c>
      <c r="L23" s="25">
        <f t="shared" si="20"/>
        <v>66471597.863999993</v>
      </c>
      <c r="M23" s="24">
        <v>97054211</v>
      </c>
      <c r="N23" s="34" t="s">
        <v>32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15" x14ac:dyDescent="0.2">
      <c r="A24" s="22">
        <v>11</v>
      </c>
      <c r="B24" s="23">
        <v>20</v>
      </c>
      <c r="C24" s="24">
        <f t="shared" si="21"/>
        <v>16347620.015999999</v>
      </c>
      <c r="D24" s="25">
        <f t="shared" si="12"/>
        <v>18928373.567999996</v>
      </c>
      <c r="E24" s="24">
        <f t="shared" si="13"/>
        <v>21993074.687999997</v>
      </c>
      <c r="F24" s="25">
        <f t="shared" si="14"/>
        <v>24681372.143999998</v>
      </c>
      <c r="G24" s="24">
        <f t="shared" si="15"/>
        <v>28283700.431999996</v>
      </c>
      <c r="H24" s="25">
        <f t="shared" si="16"/>
        <v>30075906.431999996</v>
      </c>
      <c r="I24" s="24">
        <f t="shared" si="17"/>
        <v>31267732.079999994</v>
      </c>
      <c r="J24" s="25">
        <f t="shared" si="18"/>
        <v>36644350.079999998</v>
      </c>
      <c r="K24" s="24">
        <f t="shared" si="19"/>
        <v>48580453.583999999</v>
      </c>
      <c r="L24" s="25">
        <f t="shared" si="20"/>
        <v>67774962.527999997</v>
      </c>
      <c r="M24" s="24">
        <v>98357576</v>
      </c>
      <c r="N24" s="34" t="s">
        <v>33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5" x14ac:dyDescent="0.2">
      <c r="A25" s="22">
        <v>12</v>
      </c>
      <c r="B25" s="23">
        <v>21</v>
      </c>
      <c r="C25" s="24">
        <f t="shared" si="21"/>
        <v>16661997.323999999</v>
      </c>
      <c r="D25" s="25">
        <f t="shared" si="12"/>
        <v>19292380.752</v>
      </c>
      <c r="E25" s="24">
        <f t="shared" si="13"/>
        <v>22416018.431999996</v>
      </c>
      <c r="F25" s="25">
        <f t="shared" si="14"/>
        <v>25156013.915999997</v>
      </c>
      <c r="G25" s="24">
        <f t="shared" si="15"/>
        <v>28827617.747999996</v>
      </c>
      <c r="H25" s="25">
        <f t="shared" si="16"/>
        <v>30654289.247999996</v>
      </c>
      <c r="I25" s="24">
        <f t="shared" si="17"/>
        <v>31869034.620000001</v>
      </c>
      <c r="J25" s="25">
        <f t="shared" si="18"/>
        <v>37349049.119999997</v>
      </c>
      <c r="K25" s="24">
        <f t="shared" si="19"/>
        <v>49514693.075999998</v>
      </c>
      <c r="L25" s="25">
        <f t="shared" si="20"/>
        <v>69078327.192000002</v>
      </c>
      <c r="M25" s="24">
        <v>99660941</v>
      </c>
      <c r="N25" s="34" t="s">
        <v>34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15" x14ac:dyDescent="0.2">
      <c r="A26" s="22">
        <v>13</v>
      </c>
      <c r="B26" s="23">
        <v>22</v>
      </c>
      <c r="C26" s="24">
        <f t="shared" si="21"/>
        <v>16976374.631999999</v>
      </c>
      <c r="D26" s="25">
        <f t="shared" si="12"/>
        <v>19656387.936000001</v>
      </c>
      <c r="E26" s="24">
        <f t="shared" si="13"/>
        <v>22838962.175999999</v>
      </c>
      <c r="F26" s="25">
        <f t="shared" si="14"/>
        <v>25630655.687999997</v>
      </c>
      <c r="G26" s="24">
        <f t="shared" si="15"/>
        <v>29371535.063999996</v>
      </c>
      <c r="H26" s="25">
        <f t="shared" si="16"/>
        <v>31232672.063999996</v>
      </c>
      <c r="I26" s="24">
        <f t="shared" si="17"/>
        <v>32470337.159999996</v>
      </c>
      <c r="J26" s="25">
        <f t="shared" si="18"/>
        <v>38053748.159999996</v>
      </c>
      <c r="K26" s="24">
        <f t="shared" si="19"/>
        <v>50448932.567999989</v>
      </c>
      <c r="L26" s="25">
        <f t="shared" si="20"/>
        <v>70381691.855999991</v>
      </c>
      <c r="M26" s="24">
        <v>100964305</v>
      </c>
      <c r="N26" s="34" t="s">
        <v>35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5" x14ac:dyDescent="0.2">
      <c r="A27" s="22">
        <v>14</v>
      </c>
      <c r="B27" s="23">
        <v>23</v>
      </c>
      <c r="C27" s="24">
        <f t="shared" si="21"/>
        <v>17290751.940000001</v>
      </c>
      <c r="D27" s="25">
        <f t="shared" si="12"/>
        <v>20020395.120000001</v>
      </c>
      <c r="E27" s="24">
        <f t="shared" si="13"/>
        <v>23261905.920000002</v>
      </c>
      <c r="F27" s="25">
        <f t="shared" si="14"/>
        <v>26105297.460000001</v>
      </c>
      <c r="G27" s="24">
        <f t="shared" si="15"/>
        <v>29915452.379999999</v>
      </c>
      <c r="H27" s="25">
        <f t="shared" si="16"/>
        <v>31811054.879999999</v>
      </c>
      <c r="I27" s="24">
        <f t="shared" si="17"/>
        <v>33071639.699999999</v>
      </c>
      <c r="J27" s="25">
        <f t="shared" si="18"/>
        <v>38758447.200000003</v>
      </c>
      <c r="K27" s="24">
        <f t="shared" si="19"/>
        <v>51383172.060000002</v>
      </c>
      <c r="L27" s="25">
        <f t="shared" si="20"/>
        <v>71685056.519999996</v>
      </c>
      <c r="M27" s="24">
        <v>102267670</v>
      </c>
      <c r="N27" s="34" t="s">
        <v>36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15" x14ac:dyDescent="0.2">
      <c r="A28" s="22">
        <v>15</v>
      </c>
      <c r="B28" s="23">
        <v>24</v>
      </c>
      <c r="C28" s="24">
        <f t="shared" si="21"/>
        <v>17605129.248</v>
      </c>
      <c r="D28" s="25">
        <f t="shared" si="12"/>
        <v>20384402.303999998</v>
      </c>
      <c r="E28" s="24">
        <f t="shared" si="13"/>
        <v>23684849.664000001</v>
      </c>
      <c r="F28" s="25">
        <f t="shared" si="14"/>
        <v>26579939.231999997</v>
      </c>
      <c r="G28" s="24">
        <f t="shared" si="15"/>
        <v>30459369.695999999</v>
      </c>
      <c r="H28" s="25">
        <f t="shared" si="16"/>
        <v>32389437.695999999</v>
      </c>
      <c r="I28" s="24">
        <f t="shared" si="17"/>
        <v>33672942.240000002</v>
      </c>
      <c r="J28" s="25">
        <f t="shared" si="18"/>
        <v>39463146.240000002</v>
      </c>
      <c r="K28" s="24">
        <f t="shared" si="19"/>
        <v>52317411.552000001</v>
      </c>
      <c r="L28" s="25">
        <f t="shared" si="20"/>
        <v>72988421.184</v>
      </c>
      <c r="M28" s="24">
        <v>103571035</v>
      </c>
      <c r="N28" s="34" t="s">
        <v>37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5" x14ac:dyDescent="0.2">
      <c r="A29" s="22">
        <v>16</v>
      </c>
      <c r="B29" s="23">
        <v>25</v>
      </c>
      <c r="C29" s="24">
        <f t="shared" si="21"/>
        <v>17919506.555999998</v>
      </c>
      <c r="D29" s="25">
        <f t="shared" si="12"/>
        <v>20748409.487999998</v>
      </c>
      <c r="E29" s="24">
        <f t="shared" si="13"/>
        <v>24107793.407999996</v>
      </c>
      <c r="F29" s="25">
        <f t="shared" si="14"/>
        <v>27054581.003999997</v>
      </c>
      <c r="G29" s="24">
        <f t="shared" si="15"/>
        <v>31003287.011999998</v>
      </c>
      <c r="H29" s="25">
        <f t="shared" si="16"/>
        <v>32967820.511999998</v>
      </c>
      <c r="I29" s="24">
        <f t="shared" si="17"/>
        <v>34274244.779999994</v>
      </c>
      <c r="J29" s="25">
        <f t="shared" si="18"/>
        <v>40167845.279999994</v>
      </c>
      <c r="K29" s="24">
        <f t="shared" si="19"/>
        <v>53251651.044</v>
      </c>
      <c r="L29" s="25">
        <f t="shared" si="20"/>
        <v>74291785.84799999</v>
      </c>
      <c r="M29" s="24">
        <v>104874399</v>
      </c>
      <c r="N29" s="34" t="s">
        <v>38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15" x14ac:dyDescent="0.2">
      <c r="A30" s="22">
        <v>17</v>
      </c>
      <c r="B30" s="23">
        <v>26</v>
      </c>
      <c r="C30" s="24">
        <f t="shared" si="21"/>
        <v>18233883.864</v>
      </c>
      <c r="D30" s="25">
        <f t="shared" si="12"/>
        <v>21112416.672000002</v>
      </c>
      <c r="E30" s="24">
        <f t="shared" si="13"/>
        <v>24530737.151999999</v>
      </c>
      <c r="F30" s="25">
        <f t="shared" si="14"/>
        <v>27529222.776000001</v>
      </c>
      <c r="G30" s="24">
        <f t="shared" si="15"/>
        <v>31547204.327999998</v>
      </c>
      <c r="H30" s="25">
        <f t="shared" si="16"/>
        <v>33546203.327999998</v>
      </c>
      <c r="I30" s="24">
        <f t="shared" si="17"/>
        <v>34875547.32</v>
      </c>
      <c r="J30" s="25">
        <f t="shared" si="18"/>
        <v>40872544.32</v>
      </c>
      <c r="K30" s="24">
        <f t="shared" si="19"/>
        <v>54185890.535999991</v>
      </c>
      <c r="L30" s="25">
        <f t="shared" si="20"/>
        <v>75595150.511999995</v>
      </c>
      <c r="M30" s="24">
        <v>106177764</v>
      </c>
      <c r="N30" s="34" t="s">
        <v>39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15" x14ac:dyDescent="0.2">
      <c r="A31" s="22">
        <v>18</v>
      </c>
      <c r="B31" s="23">
        <v>27</v>
      </c>
      <c r="C31" s="24">
        <f t="shared" si="21"/>
        <v>18548261.172000002</v>
      </c>
      <c r="D31" s="25">
        <f t="shared" si="12"/>
        <v>21476423.855999999</v>
      </c>
      <c r="E31" s="24">
        <f t="shared" si="13"/>
        <v>24953680.895999998</v>
      </c>
      <c r="F31" s="25">
        <f t="shared" si="14"/>
        <v>28003864.548</v>
      </c>
      <c r="G31" s="24">
        <f t="shared" si="15"/>
        <v>32091121.644000001</v>
      </c>
      <c r="H31" s="25">
        <f t="shared" si="16"/>
        <v>34124586.144000001</v>
      </c>
      <c r="I31" s="24">
        <f t="shared" si="17"/>
        <v>35476849.859999999</v>
      </c>
      <c r="J31" s="25">
        <f t="shared" si="18"/>
        <v>41577243.359999999</v>
      </c>
      <c r="K31" s="24">
        <f t="shared" si="19"/>
        <v>55120130.028000005</v>
      </c>
      <c r="L31" s="25">
        <f t="shared" si="20"/>
        <v>76898515.175999999</v>
      </c>
      <c r="M31" s="24">
        <v>107481129</v>
      </c>
      <c r="N31" s="34" t="s">
        <v>40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15" x14ac:dyDescent="0.2">
      <c r="A32" s="22">
        <v>19</v>
      </c>
      <c r="B32" s="23">
        <v>28</v>
      </c>
      <c r="C32" s="24">
        <f t="shared" si="21"/>
        <v>18862638.48</v>
      </c>
      <c r="D32" s="25">
        <f t="shared" si="12"/>
        <v>21840431.039999999</v>
      </c>
      <c r="E32" s="24">
        <f t="shared" si="13"/>
        <v>25376624.640000001</v>
      </c>
      <c r="F32" s="25">
        <f t="shared" si="14"/>
        <v>28478506.32</v>
      </c>
      <c r="G32" s="24">
        <f t="shared" si="15"/>
        <v>32635038.960000001</v>
      </c>
      <c r="H32" s="25">
        <f t="shared" si="16"/>
        <v>34702968.960000001</v>
      </c>
      <c r="I32" s="24">
        <f t="shared" si="17"/>
        <v>36078152.399999999</v>
      </c>
      <c r="J32" s="25">
        <f t="shared" si="18"/>
        <v>42281942.399999999</v>
      </c>
      <c r="K32" s="24">
        <f t="shared" si="19"/>
        <v>56054369.520000003</v>
      </c>
      <c r="L32" s="25">
        <f t="shared" si="20"/>
        <v>78201879.840000004</v>
      </c>
      <c r="M32" s="24">
        <v>108784493</v>
      </c>
      <c r="N32" s="34" t="s">
        <v>43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</sheetData>
  <printOptions horizontalCentered="1" verticalCentered="1"/>
  <pageMargins left="0.39374999999999999" right="0.39374999999999999" top="0.78749999999999998" bottom="0.196527777777778" header="0.51180555555555496" footer="0.51180555555555496"/>
  <pageSetup paperSize="0" scale="0" firstPageNumber="0" orientation="portrait" usePrinterDefaults="0" horizontalDpi="0" verticalDpi="0" copies="0"/>
  <headerFooter>
    <oddHeader>&amp;C&amp;"Comic Sans MS,Standard"Gehaltstabellen von 01.01.1994 bis 31.01.1994 / Tabelle stipendiali dal 01.01.1994  bis 31.01.1994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tabSelected="1" zoomScaleNormal="100" workbookViewId="0">
      <selection activeCell="C1" sqref="C1"/>
    </sheetView>
  </sheetViews>
  <sheetFormatPr baseColWidth="10" defaultColWidth="9.140625" defaultRowHeight="12.75" x14ac:dyDescent="0.2"/>
  <cols>
    <col min="1" max="1" width="24.85546875"/>
    <col min="2" max="2" width="0" hidden="1"/>
    <col min="4" max="4" width="0" hidden="1"/>
    <col min="6" max="6" width="0" hidden="1"/>
    <col min="8" max="8" width="0" hidden="1"/>
    <col min="10" max="10" width="0" hidden="1"/>
    <col min="12" max="12" width="0" hidden="1"/>
    <col min="14" max="14" width="0" hidden="1"/>
    <col min="16" max="16" width="0" hidden="1"/>
    <col min="18" max="18" width="0" hidden="1"/>
    <col min="20" max="20" width="0" hidden="1"/>
    <col min="22" max="256" width="11.28515625"/>
    <col min="257" max="1025" width="11.5703125"/>
  </cols>
  <sheetData>
    <row r="1" spans="1:256" ht="15.75" customHeight="1" x14ac:dyDescent="0.2">
      <c r="A1" s="111"/>
      <c r="B1" s="112" t="s">
        <v>44</v>
      </c>
      <c r="C1" s="112" t="s">
        <v>44</v>
      </c>
      <c r="D1" s="113" t="s">
        <v>45</v>
      </c>
      <c r="E1" s="113" t="s">
        <v>45</v>
      </c>
      <c r="F1" s="112" t="s">
        <v>46</v>
      </c>
      <c r="G1" s="112" t="s">
        <v>46</v>
      </c>
      <c r="H1" s="113" t="s">
        <v>47</v>
      </c>
      <c r="I1" s="113" t="s">
        <v>47</v>
      </c>
      <c r="J1" s="112" t="s">
        <v>48</v>
      </c>
      <c r="K1" s="112" t="s">
        <v>48</v>
      </c>
      <c r="L1" s="113" t="s">
        <v>49</v>
      </c>
      <c r="M1" s="113" t="s">
        <v>49</v>
      </c>
      <c r="N1" s="112" t="s">
        <v>50</v>
      </c>
      <c r="O1" s="112" t="s">
        <v>50</v>
      </c>
      <c r="P1" s="114" t="s">
        <v>87</v>
      </c>
      <c r="Q1" s="113" t="s">
        <v>87</v>
      </c>
      <c r="R1" s="113" t="s">
        <v>51</v>
      </c>
      <c r="S1" s="113" t="s">
        <v>51</v>
      </c>
      <c r="T1" s="112" t="s">
        <v>52</v>
      </c>
      <c r="U1" s="112" t="s">
        <v>52</v>
      </c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  <c r="IU1" s="115"/>
      <c r="IV1" s="115"/>
    </row>
    <row r="2" spans="1:256" ht="15.75" customHeight="1" x14ac:dyDescent="0.25">
      <c r="A2" s="116" t="s">
        <v>10</v>
      </c>
      <c r="B2" s="117"/>
      <c r="C2" s="118"/>
      <c r="D2" s="119"/>
      <c r="E2" s="120"/>
      <c r="F2" s="117"/>
      <c r="G2" s="118"/>
      <c r="H2" s="119"/>
      <c r="I2" s="120"/>
      <c r="J2" s="117"/>
      <c r="K2" s="118"/>
      <c r="L2" s="119"/>
      <c r="M2" s="120"/>
      <c r="N2" s="117"/>
      <c r="O2" s="118"/>
      <c r="P2" s="118"/>
      <c r="Q2" s="120"/>
      <c r="R2" s="119"/>
      <c r="S2" s="119"/>
      <c r="T2" s="117"/>
      <c r="U2" s="117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  <c r="IT2" s="121"/>
      <c r="IU2" s="121"/>
      <c r="IV2" s="121"/>
    </row>
    <row r="3" spans="1:256" ht="15.75" customHeight="1" x14ac:dyDescent="0.25">
      <c r="A3" s="122" t="s">
        <v>11</v>
      </c>
      <c r="B3" s="123">
        <v>606.69000000000005</v>
      </c>
      <c r="C3" s="123">
        <f>B3</f>
        <v>606.69000000000005</v>
      </c>
      <c r="D3" s="124">
        <v>731.53</v>
      </c>
      <c r="E3" s="124">
        <f>D3</f>
        <v>731.53</v>
      </c>
      <c r="F3" s="123">
        <v>794.92</v>
      </c>
      <c r="G3" s="123">
        <f>F3</f>
        <v>794.92</v>
      </c>
      <c r="H3" s="124">
        <v>858.31</v>
      </c>
      <c r="I3" s="124">
        <f>H3</f>
        <v>858.31</v>
      </c>
      <c r="J3" s="123">
        <v>965.97</v>
      </c>
      <c r="K3" s="123">
        <f>J3</f>
        <v>965.97</v>
      </c>
      <c r="L3" s="124">
        <v>1078.01</v>
      </c>
      <c r="M3" s="124">
        <f>L3</f>
        <v>1078.01</v>
      </c>
      <c r="N3" s="123">
        <v>1278.43</v>
      </c>
      <c r="O3" s="123">
        <f>N3</f>
        <v>1278.43</v>
      </c>
      <c r="P3" s="125">
        <v>1342.34</v>
      </c>
      <c r="Q3" s="124">
        <f>P3</f>
        <v>1342.34</v>
      </c>
      <c r="R3" s="124">
        <v>1561.52</v>
      </c>
      <c r="S3" s="124">
        <f>R3</f>
        <v>1561.52</v>
      </c>
      <c r="T3" s="123">
        <v>1865.74</v>
      </c>
      <c r="U3" s="123">
        <f>T3</f>
        <v>1865.74</v>
      </c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  <c r="IR3" s="126"/>
      <c r="IS3" s="126"/>
      <c r="IT3" s="126"/>
      <c r="IU3" s="126"/>
      <c r="IV3" s="126"/>
    </row>
    <row r="4" spans="1:256" ht="15.75" customHeight="1" x14ac:dyDescent="0.2">
      <c r="A4" s="127" t="s">
        <v>53</v>
      </c>
      <c r="B4" s="128">
        <f>B3*0.06</f>
        <v>36.401400000000002</v>
      </c>
      <c r="C4" s="128">
        <f>C$3+B4</f>
        <v>643.09140000000002</v>
      </c>
      <c r="D4" s="129">
        <f>D3*0.06</f>
        <v>43.891799999999996</v>
      </c>
      <c r="E4" s="129">
        <f>E$3+D4</f>
        <v>775.42179999999996</v>
      </c>
      <c r="F4" s="128">
        <f>F3*0.06</f>
        <v>47.695199999999993</v>
      </c>
      <c r="G4" s="128">
        <f>G$3+F4</f>
        <v>842.61519999999996</v>
      </c>
      <c r="H4" s="129">
        <f>H3*0.06</f>
        <v>51.498599999999996</v>
      </c>
      <c r="I4" s="129">
        <f>I$3+H4</f>
        <v>909.80859999999996</v>
      </c>
      <c r="J4" s="128">
        <f>J3*0.06</f>
        <v>57.958199999999998</v>
      </c>
      <c r="K4" s="128">
        <f>K$3+J4</f>
        <v>1023.9282000000001</v>
      </c>
      <c r="L4" s="129">
        <f>L3*0.06</f>
        <v>64.680599999999998</v>
      </c>
      <c r="M4" s="129">
        <f>M$3+L4</f>
        <v>1142.6905999999999</v>
      </c>
      <c r="N4" s="128">
        <f>N3*0.06</f>
        <v>76.705799999999996</v>
      </c>
      <c r="O4" s="128">
        <f>O$3+N4</f>
        <v>1355.1358</v>
      </c>
      <c r="P4" s="129">
        <f>P3*0.06</f>
        <v>80.540399999999991</v>
      </c>
      <c r="Q4" s="129">
        <f>Q$3+P4</f>
        <v>1422.8804</v>
      </c>
      <c r="R4" s="129">
        <f>R3*0.06</f>
        <v>93.691199999999995</v>
      </c>
      <c r="S4" s="129">
        <f>S$3+R4</f>
        <v>1655.2112</v>
      </c>
      <c r="T4" s="128">
        <f>T3*0.06</f>
        <v>111.9444</v>
      </c>
      <c r="U4" s="128">
        <f>U$3+T4</f>
        <v>1977.6844000000001</v>
      </c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</row>
    <row r="5" spans="1:256" ht="15.75" customHeight="1" x14ac:dyDescent="0.2">
      <c r="A5" s="127" t="s">
        <v>54</v>
      </c>
      <c r="B5" s="128">
        <f>B4+B$4</f>
        <v>72.802800000000005</v>
      </c>
      <c r="C5" s="128">
        <f>C$3+B5</f>
        <v>679.4928000000001</v>
      </c>
      <c r="D5" s="129">
        <f>D4+D$4</f>
        <v>87.783599999999993</v>
      </c>
      <c r="E5" s="129">
        <f>E$3+D5</f>
        <v>819.31359999999995</v>
      </c>
      <c r="F5" s="128">
        <f>F4+F$4</f>
        <v>95.390399999999985</v>
      </c>
      <c r="G5" s="128">
        <f>G$3+F5</f>
        <v>890.31039999999996</v>
      </c>
      <c r="H5" s="129">
        <f>H4+H$4</f>
        <v>102.99719999999999</v>
      </c>
      <c r="I5" s="129">
        <f>I$3+H5</f>
        <v>961.30719999999997</v>
      </c>
      <c r="J5" s="128">
        <f>J4+J$4</f>
        <v>115.9164</v>
      </c>
      <c r="K5" s="128">
        <f>K$3+J5</f>
        <v>1081.8864000000001</v>
      </c>
      <c r="L5" s="129">
        <f>L4+L$4</f>
        <v>129.3612</v>
      </c>
      <c r="M5" s="129">
        <f>M$3+L5</f>
        <v>1207.3712</v>
      </c>
      <c r="N5" s="128">
        <f>N4+N$4</f>
        <v>153.41159999999999</v>
      </c>
      <c r="O5" s="128">
        <f>O$3+N5</f>
        <v>1431.8416</v>
      </c>
      <c r="P5" s="129">
        <f>P4+P$4</f>
        <v>161.08079999999998</v>
      </c>
      <c r="Q5" s="129">
        <f>Q$3+P5</f>
        <v>1503.4207999999999</v>
      </c>
      <c r="R5" s="129">
        <f>R4+R$4</f>
        <v>187.38239999999999</v>
      </c>
      <c r="S5" s="129">
        <f>S$3+R5</f>
        <v>1748.9023999999999</v>
      </c>
      <c r="T5" s="128">
        <f>T4+T$4</f>
        <v>223.8888</v>
      </c>
      <c r="U5" s="128">
        <f>U$3+T5</f>
        <v>2089.6288</v>
      </c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  <c r="IO5" s="131"/>
      <c r="IP5" s="131"/>
      <c r="IQ5" s="131"/>
      <c r="IR5" s="131"/>
      <c r="IS5" s="131"/>
      <c r="IT5" s="131"/>
      <c r="IU5" s="131"/>
      <c r="IV5" s="131"/>
    </row>
    <row r="6" spans="1:256" ht="15.75" customHeight="1" x14ac:dyDescent="0.2">
      <c r="A6" s="127" t="s">
        <v>55</v>
      </c>
      <c r="B6" s="128">
        <f>B5+B$4</f>
        <v>109.20420000000001</v>
      </c>
      <c r="C6" s="128">
        <f>C$3+B6</f>
        <v>715.89420000000007</v>
      </c>
      <c r="D6" s="129">
        <f>D5+D$4</f>
        <v>131.6754</v>
      </c>
      <c r="E6" s="129">
        <f>E$3+D6</f>
        <v>863.20539999999994</v>
      </c>
      <c r="F6" s="128">
        <f>F5+F$4</f>
        <v>143.08559999999997</v>
      </c>
      <c r="G6" s="128">
        <f>G$3+F6</f>
        <v>938.00559999999996</v>
      </c>
      <c r="H6" s="129">
        <f>H5+H$4</f>
        <v>154.49579999999997</v>
      </c>
      <c r="I6" s="129">
        <f>I$3+H6</f>
        <v>1012.8057999999999</v>
      </c>
      <c r="J6" s="128">
        <f>J5+J$4</f>
        <v>173.87459999999999</v>
      </c>
      <c r="K6" s="128">
        <f>K$3+J6</f>
        <v>1139.8445999999999</v>
      </c>
      <c r="L6" s="129">
        <f>L5+L$4</f>
        <v>194.04179999999999</v>
      </c>
      <c r="M6" s="129">
        <f>M$3+L6</f>
        <v>1272.0518</v>
      </c>
      <c r="N6" s="128">
        <f>N5+N$4</f>
        <v>230.11739999999998</v>
      </c>
      <c r="O6" s="128">
        <f>O$3+N6</f>
        <v>1508.5473999999999</v>
      </c>
      <c r="P6" s="129">
        <f>P5+P$4</f>
        <v>241.62119999999999</v>
      </c>
      <c r="Q6" s="129">
        <f>Q$3+P6</f>
        <v>1583.9612</v>
      </c>
      <c r="R6" s="129">
        <f>R5+R$4</f>
        <v>281.0736</v>
      </c>
      <c r="S6" s="129">
        <f>S$3+R6</f>
        <v>1842.5935999999999</v>
      </c>
      <c r="T6" s="128">
        <f>T5+T$4</f>
        <v>335.83320000000003</v>
      </c>
      <c r="U6" s="128">
        <f>U$3+T6</f>
        <v>2201.5731999999998</v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  <c r="IK6" s="131"/>
      <c r="IL6" s="131"/>
      <c r="IM6" s="131"/>
      <c r="IN6" s="131"/>
      <c r="IO6" s="131"/>
      <c r="IP6" s="131"/>
      <c r="IQ6" s="131"/>
      <c r="IR6" s="131"/>
      <c r="IS6" s="131"/>
      <c r="IT6" s="131"/>
      <c r="IU6" s="131"/>
      <c r="IV6" s="131"/>
    </row>
    <row r="7" spans="1:256" ht="15.75" customHeight="1" x14ac:dyDescent="0.2">
      <c r="A7" s="132"/>
      <c r="B7" s="133"/>
      <c r="C7" s="133"/>
      <c r="D7" s="134"/>
      <c r="E7" s="134"/>
      <c r="F7" s="133"/>
      <c r="G7" s="133"/>
      <c r="H7" s="134"/>
      <c r="I7" s="134"/>
      <c r="J7" s="133"/>
      <c r="K7" s="133"/>
      <c r="L7" s="134"/>
      <c r="M7" s="134"/>
      <c r="N7" s="133"/>
      <c r="O7" s="133"/>
      <c r="P7" s="135"/>
      <c r="Q7" s="134"/>
      <c r="R7" s="134"/>
      <c r="S7" s="134"/>
      <c r="T7" s="133"/>
      <c r="U7" s="133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1"/>
    </row>
    <row r="8" spans="1:256" ht="15.75" customHeight="1" x14ac:dyDescent="0.2">
      <c r="A8" s="136" t="s">
        <v>56</v>
      </c>
      <c r="B8" s="137"/>
      <c r="C8" s="137"/>
      <c r="D8" s="138"/>
      <c r="E8" s="138"/>
      <c r="F8" s="137"/>
      <c r="G8" s="137"/>
      <c r="H8" s="138"/>
      <c r="I8" s="138"/>
      <c r="J8" s="137"/>
      <c r="K8" s="137"/>
      <c r="L8" s="138"/>
      <c r="M8" s="138"/>
      <c r="N8" s="137"/>
      <c r="O8" s="137"/>
      <c r="P8" s="139"/>
      <c r="Q8" s="138"/>
      <c r="R8" s="138"/>
      <c r="S8" s="138"/>
      <c r="T8" s="137"/>
      <c r="U8" s="137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  <c r="IV8" s="121"/>
    </row>
    <row r="9" spans="1:256" ht="15.75" customHeight="1" x14ac:dyDescent="0.25">
      <c r="A9" s="122" t="s">
        <v>11</v>
      </c>
      <c r="B9" s="123">
        <v>760.55</v>
      </c>
      <c r="C9" s="123">
        <f>B9</f>
        <v>760.55</v>
      </c>
      <c r="D9" s="124">
        <v>936.68</v>
      </c>
      <c r="E9" s="124">
        <f>D9</f>
        <v>936.68</v>
      </c>
      <c r="F9" s="123">
        <v>1024.3599999999999</v>
      </c>
      <c r="G9" s="123">
        <f>F9</f>
        <v>1024.3599999999999</v>
      </c>
      <c r="H9" s="124">
        <v>1113.78</v>
      </c>
      <c r="I9" s="124">
        <f>H9</f>
        <v>1113.78</v>
      </c>
      <c r="J9" s="123">
        <v>1253.3499999999999</v>
      </c>
      <c r="K9" s="123">
        <f>J9</f>
        <v>1253.3499999999999</v>
      </c>
      <c r="L9" s="124">
        <v>1424.75</v>
      </c>
      <c r="M9" s="124">
        <f>L9</f>
        <v>1424.75</v>
      </c>
      <c r="N9" s="123">
        <v>1689.26</v>
      </c>
      <c r="O9" s="123">
        <f>N9</f>
        <v>1689.26</v>
      </c>
      <c r="P9" s="125">
        <v>1756.85</v>
      </c>
      <c r="Q9" s="124">
        <f>P9</f>
        <v>1756.85</v>
      </c>
      <c r="R9" s="124">
        <v>2026.79</v>
      </c>
      <c r="S9" s="124">
        <f>R9</f>
        <v>2026.79</v>
      </c>
      <c r="T9" s="123">
        <v>2486.98</v>
      </c>
      <c r="U9" s="123">
        <f>T9</f>
        <v>2486.98</v>
      </c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</row>
    <row r="10" spans="1:256" ht="15.75" customHeight="1" x14ac:dyDescent="0.2">
      <c r="A10" s="127" t="s">
        <v>57</v>
      </c>
      <c r="B10" s="128">
        <f>B9*0.03</f>
        <v>22.816499999999998</v>
      </c>
      <c r="C10" s="128">
        <f t="shared" ref="C10:C34" si="0">C$9+B10</f>
        <v>783.36649999999997</v>
      </c>
      <c r="D10" s="129">
        <f>D9*0.03</f>
        <v>28.100399999999997</v>
      </c>
      <c r="E10" s="129">
        <f t="shared" ref="E10:E34" si="1">$E$9+D10</f>
        <v>964.78039999999999</v>
      </c>
      <c r="F10" s="128">
        <f>F9*0.03</f>
        <v>30.730799999999995</v>
      </c>
      <c r="G10" s="128">
        <f t="shared" ref="G10:G34" si="2">$G$9+F10</f>
        <v>1055.0907999999999</v>
      </c>
      <c r="H10" s="129">
        <f>H9*0.03</f>
        <v>33.413399999999996</v>
      </c>
      <c r="I10" s="129">
        <f t="shared" ref="I10:I34" si="3">$I$9+H10</f>
        <v>1147.1933999999999</v>
      </c>
      <c r="J10" s="128">
        <f>J9*0.03</f>
        <v>37.600499999999997</v>
      </c>
      <c r="K10" s="128">
        <f t="shared" ref="K10:K34" si="4">$K$9+J10</f>
        <v>1290.9504999999999</v>
      </c>
      <c r="L10" s="129">
        <f>L9*0.03</f>
        <v>42.7425</v>
      </c>
      <c r="M10" s="129">
        <f t="shared" ref="M10:M34" si="5">$M$9+L10</f>
        <v>1467.4925000000001</v>
      </c>
      <c r="N10" s="128">
        <f>N9*0.03</f>
        <v>50.677799999999998</v>
      </c>
      <c r="O10" s="128">
        <f t="shared" ref="O10:O34" si="6">$O$9+N10</f>
        <v>1739.9377999999999</v>
      </c>
      <c r="P10" s="129">
        <f>P9*0.03</f>
        <v>52.705499999999994</v>
      </c>
      <c r="Q10" s="129">
        <f t="shared" ref="Q10:Q34" si="7">$Q$9+P10</f>
        <v>1809.5554999999999</v>
      </c>
      <c r="R10" s="129">
        <f>R9*0.03</f>
        <v>60.803699999999999</v>
      </c>
      <c r="S10" s="129">
        <f t="shared" ref="S10:S34" si="8">$S$9+R10</f>
        <v>2087.5936999999999</v>
      </c>
      <c r="T10" s="128">
        <f>T9*0.03</f>
        <v>74.609399999999994</v>
      </c>
      <c r="U10" s="128">
        <f t="shared" ref="U10:U34" si="9">$U$9+T10</f>
        <v>2561.5893999999998</v>
      </c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</row>
    <row r="11" spans="1:256" ht="15.75" customHeight="1" x14ac:dyDescent="0.2">
      <c r="A11" s="127" t="s">
        <v>58</v>
      </c>
      <c r="B11" s="128">
        <f t="shared" ref="B11:B34" si="10">B$10+B10</f>
        <v>45.632999999999996</v>
      </c>
      <c r="C11" s="128">
        <f t="shared" si="0"/>
        <v>806.18299999999999</v>
      </c>
      <c r="D11" s="129">
        <f t="shared" ref="D11:D34" si="11">D$10+D10</f>
        <v>56.200799999999994</v>
      </c>
      <c r="E11" s="129">
        <f t="shared" si="1"/>
        <v>992.88079999999991</v>
      </c>
      <c r="F11" s="128">
        <f t="shared" ref="F11:F34" si="12">F$10+F10</f>
        <v>61.46159999999999</v>
      </c>
      <c r="G11" s="128">
        <f t="shared" si="2"/>
        <v>1085.8216</v>
      </c>
      <c r="H11" s="129">
        <f t="shared" ref="H11:H34" si="13">H$10+H10</f>
        <v>66.826799999999992</v>
      </c>
      <c r="I11" s="129">
        <f t="shared" si="3"/>
        <v>1180.6068</v>
      </c>
      <c r="J11" s="128">
        <f t="shared" ref="J11:J34" si="14">J$10+J10</f>
        <v>75.200999999999993</v>
      </c>
      <c r="K11" s="128">
        <f t="shared" si="4"/>
        <v>1328.5509999999999</v>
      </c>
      <c r="L11" s="129">
        <f t="shared" ref="L11:L34" si="15">L$10+L10</f>
        <v>85.484999999999999</v>
      </c>
      <c r="M11" s="129">
        <f t="shared" si="5"/>
        <v>1510.2349999999999</v>
      </c>
      <c r="N11" s="128">
        <f t="shared" ref="N11:N34" si="16">N$10+N10</f>
        <v>101.3556</v>
      </c>
      <c r="O11" s="128">
        <f t="shared" si="6"/>
        <v>1790.6156000000001</v>
      </c>
      <c r="P11" s="129">
        <f t="shared" ref="P11:P34" si="17">P$10+P10</f>
        <v>105.41099999999999</v>
      </c>
      <c r="Q11" s="129">
        <f t="shared" si="7"/>
        <v>1862.261</v>
      </c>
      <c r="R11" s="129">
        <f t="shared" ref="R11:R34" si="18">R$10+R10</f>
        <v>121.6074</v>
      </c>
      <c r="S11" s="129">
        <f t="shared" si="8"/>
        <v>2148.3973999999998</v>
      </c>
      <c r="T11" s="128">
        <f t="shared" ref="T11:T34" si="19">T$10+T10</f>
        <v>149.21879999999999</v>
      </c>
      <c r="U11" s="128">
        <f t="shared" si="9"/>
        <v>2636.1988000000001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  <c r="IT11" s="131"/>
      <c r="IU11" s="131"/>
      <c r="IV11" s="131"/>
    </row>
    <row r="12" spans="1:256" ht="15.75" customHeight="1" x14ac:dyDescent="0.2">
      <c r="A12" s="127" t="s">
        <v>59</v>
      </c>
      <c r="B12" s="128">
        <f t="shared" si="10"/>
        <v>68.4495</v>
      </c>
      <c r="C12" s="128">
        <f t="shared" si="0"/>
        <v>828.9994999999999</v>
      </c>
      <c r="D12" s="129">
        <f t="shared" si="11"/>
        <v>84.301199999999994</v>
      </c>
      <c r="E12" s="129">
        <f t="shared" si="1"/>
        <v>1020.9811999999999</v>
      </c>
      <c r="F12" s="128">
        <f t="shared" si="12"/>
        <v>92.192399999999992</v>
      </c>
      <c r="G12" s="128">
        <f t="shared" si="2"/>
        <v>1116.5523999999998</v>
      </c>
      <c r="H12" s="129">
        <f t="shared" si="13"/>
        <v>100.24019999999999</v>
      </c>
      <c r="I12" s="129">
        <f t="shared" si="3"/>
        <v>1214.0201999999999</v>
      </c>
      <c r="J12" s="128">
        <f t="shared" si="14"/>
        <v>112.80149999999999</v>
      </c>
      <c r="K12" s="128">
        <f t="shared" si="4"/>
        <v>1366.1514999999999</v>
      </c>
      <c r="L12" s="129">
        <f t="shared" si="15"/>
        <v>128.22749999999999</v>
      </c>
      <c r="M12" s="129">
        <f t="shared" si="5"/>
        <v>1552.9775</v>
      </c>
      <c r="N12" s="128">
        <f t="shared" si="16"/>
        <v>152.0334</v>
      </c>
      <c r="O12" s="128">
        <f t="shared" si="6"/>
        <v>1841.2934</v>
      </c>
      <c r="P12" s="129">
        <f t="shared" si="17"/>
        <v>158.11649999999997</v>
      </c>
      <c r="Q12" s="129">
        <f t="shared" si="7"/>
        <v>1914.9665</v>
      </c>
      <c r="R12" s="129">
        <f t="shared" si="18"/>
        <v>182.4111</v>
      </c>
      <c r="S12" s="129">
        <f t="shared" si="8"/>
        <v>2209.2010999999998</v>
      </c>
      <c r="T12" s="128">
        <f t="shared" si="19"/>
        <v>223.82819999999998</v>
      </c>
      <c r="U12" s="128">
        <f t="shared" si="9"/>
        <v>2710.8081999999999</v>
      </c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</row>
    <row r="13" spans="1:256" ht="15.75" customHeight="1" x14ac:dyDescent="0.2">
      <c r="A13" s="127" t="s">
        <v>60</v>
      </c>
      <c r="B13" s="128">
        <f t="shared" si="10"/>
        <v>91.265999999999991</v>
      </c>
      <c r="C13" s="128">
        <f t="shared" si="0"/>
        <v>851.81599999999992</v>
      </c>
      <c r="D13" s="129">
        <f t="shared" si="11"/>
        <v>112.40159999999999</v>
      </c>
      <c r="E13" s="129">
        <f t="shared" si="1"/>
        <v>1049.0816</v>
      </c>
      <c r="F13" s="128">
        <f t="shared" si="12"/>
        <v>122.92319999999998</v>
      </c>
      <c r="G13" s="128">
        <f t="shared" si="2"/>
        <v>1147.2831999999999</v>
      </c>
      <c r="H13" s="129">
        <f t="shared" si="13"/>
        <v>133.65359999999998</v>
      </c>
      <c r="I13" s="129">
        <f t="shared" si="3"/>
        <v>1247.4335999999998</v>
      </c>
      <c r="J13" s="128">
        <f t="shared" si="14"/>
        <v>150.40199999999999</v>
      </c>
      <c r="K13" s="128">
        <f t="shared" si="4"/>
        <v>1403.752</v>
      </c>
      <c r="L13" s="129">
        <f t="shared" si="15"/>
        <v>170.97</v>
      </c>
      <c r="M13" s="129">
        <f t="shared" si="5"/>
        <v>1595.72</v>
      </c>
      <c r="N13" s="128">
        <f t="shared" si="16"/>
        <v>202.71119999999999</v>
      </c>
      <c r="O13" s="128">
        <f t="shared" si="6"/>
        <v>1891.9712</v>
      </c>
      <c r="P13" s="129">
        <f t="shared" si="17"/>
        <v>210.82199999999997</v>
      </c>
      <c r="Q13" s="129">
        <f t="shared" si="7"/>
        <v>1967.6719999999998</v>
      </c>
      <c r="R13" s="129">
        <f t="shared" si="18"/>
        <v>243.2148</v>
      </c>
      <c r="S13" s="129">
        <f t="shared" si="8"/>
        <v>2270.0048000000002</v>
      </c>
      <c r="T13" s="128">
        <f t="shared" si="19"/>
        <v>298.43759999999997</v>
      </c>
      <c r="U13" s="128">
        <f t="shared" si="9"/>
        <v>2785.4175999999998</v>
      </c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</row>
    <row r="14" spans="1:256" ht="15.75" customHeight="1" x14ac:dyDescent="0.2">
      <c r="A14" s="127" t="s">
        <v>61</v>
      </c>
      <c r="B14" s="128">
        <f t="shared" si="10"/>
        <v>114.08249999999998</v>
      </c>
      <c r="C14" s="128">
        <f t="shared" si="0"/>
        <v>874.63249999999994</v>
      </c>
      <c r="D14" s="129">
        <f t="shared" si="11"/>
        <v>140.50199999999998</v>
      </c>
      <c r="E14" s="129">
        <f t="shared" si="1"/>
        <v>1077.182</v>
      </c>
      <c r="F14" s="128">
        <f t="shared" si="12"/>
        <v>153.65399999999997</v>
      </c>
      <c r="G14" s="128">
        <f t="shared" si="2"/>
        <v>1178.0139999999999</v>
      </c>
      <c r="H14" s="129">
        <f t="shared" si="13"/>
        <v>167.06699999999998</v>
      </c>
      <c r="I14" s="129">
        <f t="shared" si="3"/>
        <v>1280.847</v>
      </c>
      <c r="J14" s="128">
        <f t="shared" si="14"/>
        <v>188.0025</v>
      </c>
      <c r="K14" s="128">
        <f t="shared" si="4"/>
        <v>1441.3525</v>
      </c>
      <c r="L14" s="129">
        <f t="shared" si="15"/>
        <v>213.71250000000001</v>
      </c>
      <c r="M14" s="129">
        <f t="shared" si="5"/>
        <v>1638.4625000000001</v>
      </c>
      <c r="N14" s="128">
        <f t="shared" si="16"/>
        <v>253.38899999999998</v>
      </c>
      <c r="O14" s="128">
        <f t="shared" si="6"/>
        <v>1942.6489999999999</v>
      </c>
      <c r="P14" s="129">
        <f t="shared" si="17"/>
        <v>263.52749999999997</v>
      </c>
      <c r="Q14" s="129">
        <f t="shared" si="7"/>
        <v>2020.3774999999998</v>
      </c>
      <c r="R14" s="129">
        <f t="shared" si="18"/>
        <v>304.01850000000002</v>
      </c>
      <c r="S14" s="129">
        <f t="shared" si="8"/>
        <v>2330.8085000000001</v>
      </c>
      <c r="T14" s="128">
        <f t="shared" si="19"/>
        <v>373.04699999999997</v>
      </c>
      <c r="U14" s="128">
        <f t="shared" si="9"/>
        <v>2860.027</v>
      </c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</row>
    <row r="15" spans="1:256" ht="15.75" customHeight="1" x14ac:dyDescent="0.2">
      <c r="A15" s="127" t="s">
        <v>62</v>
      </c>
      <c r="B15" s="128">
        <f t="shared" si="10"/>
        <v>136.89899999999997</v>
      </c>
      <c r="C15" s="128">
        <f t="shared" si="0"/>
        <v>897.44899999999996</v>
      </c>
      <c r="D15" s="129">
        <f t="shared" si="11"/>
        <v>168.60239999999999</v>
      </c>
      <c r="E15" s="129">
        <f t="shared" si="1"/>
        <v>1105.2824000000001</v>
      </c>
      <c r="F15" s="128">
        <f t="shared" si="12"/>
        <v>184.38479999999996</v>
      </c>
      <c r="G15" s="128">
        <f t="shared" si="2"/>
        <v>1208.7447999999999</v>
      </c>
      <c r="H15" s="129">
        <f t="shared" si="13"/>
        <v>200.48039999999997</v>
      </c>
      <c r="I15" s="129">
        <f t="shared" si="3"/>
        <v>1314.2603999999999</v>
      </c>
      <c r="J15" s="128">
        <f t="shared" si="14"/>
        <v>225.60300000000001</v>
      </c>
      <c r="K15" s="128">
        <f t="shared" si="4"/>
        <v>1478.953</v>
      </c>
      <c r="L15" s="129">
        <f t="shared" si="15"/>
        <v>256.45499999999998</v>
      </c>
      <c r="M15" s="129">
        <f t="shared" si="5"/>
        <v>1681.2049999999999</v>
      </c>
      <c r="N15" s="128">
        <f t="shared" si="16"/>
        <v>304.0668</v>
      </c>
      <c r="O15" s="128">
        <f t="shared" si="6"/>
        <v>1993.3268</v>
      </c>
      <c r="P15" s="129">
        <f t="shared" si="17"/>
        <v>316.23299999999995</v>
      </c>
      <c r="Q15" s="129">
        <f t="shared" si="7"/>
        <v>2073.0829999999996</v>
      </c>
      <c r="R15" s="129">
        <f t="shared" si="18"/>
        <v>364.82220000000001</v>
      </c>
      <c r="S15" s="129">
        <f t="shared" si="8"/>
        <v>2391.6122</v>
      </c>
      <c r="T15" s="128">
        <f t="shared" si="19"/>
        <v>447.65639999999996</v>
      </c>
      <c r="U15" s="128">
        <f t="shared" si="9"/>
        <v>2934.6363999999999</v>
      </c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</row>
    <row r="16" spans="1:256" ht="15.75" customHeight="1" x14ac:dyDescent="0.2">
      <c r="A16" s="127" t="s">
        <v>63</v>
      </c>
      <c r="B16" s="128">
        <f t="shared" si="10"/>
        <v>159.71549999999996</v>
      </c>
      <c r="C16" s="128">
        <f t="shared" si="0"/>
        <v>920.26549999999997</v>
      </c>
      <c r="D16" s="129">
        <f t="shared" si="11"/>
        <v>196.7028</v>
      </c>
      <c r="E16" s="129">
        <f t="shared" si="1"/>
        <v>1133.3827999999999</v>
      </c>
      <c r="F16" s="128">
        <f t="shared" si="12"/>
        <v>215.11559999999994</v>
      </c>
      <c r="G16" s="128">
        <f t="shared" si="2"/>
        <v>1239.4755999999998</v>
      </c>
      <c r="H16" s="129">
        <f t="shared" si="13"/>
        <v>233.89379999999997</v>
      </c>
      <c r="I16" s="129">
        <f t="shared" si="3"/>
        <v>1347.6738</v>
      </c>
      <c r="J16" s="128">
        <f t="shared" si="14"/>
        <v>263.20350000000002</v>
      </c>
      <c r="K16" s="128">
        <f t="shared" si="4"/>
        <v>1516.5535</v>
      </c>
      <c r="L16" s="129">
        <f t="shared" si="15"/>
        <v>299.19749999999999</v>
      </c>
      <c r="M16" s="129">
        <f t="shared" si="5"/>
        <v>1723.9475</v>
      </c>
      <c r="N16" s="128">
        <f t="shared" si="16"/>
        <v>354.74459999999999</v>
      </c>
      <c r="O16" s="128">
        <f t="shared" si="6"/>
        <v>2044.0046</v>
      </c>
      <c r="P16" s="129">
        <f t="shared" si="17"/>
        <v>368.93849999999992</v>
      </c>
      <c r="Q16" s="129">
        <f t="shared" si="7"/>
        <v>2125.7884999999997</v>
      </c>
      <c r="R16" s="129">
        <f t="shared" si="18"/>
        <v>425.6259</v>
      </c>
      <c r="S16" s="129">
        <f t="shared" si="8"/>
        <v>2452.4159</v>
      </c>
      <c r="T16" s="128">
        <f t="shared" si="19"/>
        <v>522.2657999999999</v>
      </c>
      <c r="U16" s="128">
        <f t="shared" si="9"/>
        <v>3009.2457999999997</v>
      </c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</row>
    <row r="17" spans="1:256" ht="15.75" customHeight="1" x14ac:dyDescent="0.2">
      <c r="A17" s="127" t="s">
        <v>64</v>
      </c>
      <c r="B17" s="128">
        <f t="shared" si="10"/>
        <v>182.53199999999995</v>
      </c>
      <c r="C17" s="128">
        <f t="shared" si="0"/>
        <v>943.08199999999988</v>
      </c>
      <c r="D17" s="129">
        <f t="shared" si="11"/>
        <v>224.8032</v>
      </c>
      <c r="E17" s="129">
        <f t="shared" si="1"/>
        <v>1161.4831999999999</v>
      </c>
      <c r="F17" s="128">
        <f t="shared" si="12"/>
        <v>245.84639999999993</v>
      </c>
      <c r="G17" s="128">
        <f t="shared" si="2"/>
        <v>1270.2063999999998</v>
      </c>
      <c r="H17" s="129">
        <f t="shared" si="13"/>
        <v>267.30719999999997</v>
      </c>
      <c r="I17" s="129">
        <f t="shared" si="3"/>
        <v>1381.0871999999999</v>
      </c>
      <c r="J17" s="128">
        <f t="shared" si="14"/>
        <v>300.80400000000003</v>
      </c>
      <c r="K17" s="128">
        <f t="shared" si="4"/>
        <v>1554.154</v>
      </c>
      <c r="L17" s="129">
        <f t="shared" si="15"/>
        <v>341.94</v>
      </c>
      <c r="M17" s="129">
        <f t="shared" si="5"/>
        <v>1766.69</v>
      </c>
      <c r="N17" s="128">
        <f t="shared" si="16"/>
        <v>405.42239999999998</v>
      </c>
      <c r="O17" s="128">
        <f t="shared" si="6"/>
        <v>2094.6824000000001</v>
      </c>
      <c r="P17" s="129">
        <f t="shared" si="17"/>
        <v>421.64399999999989</v>
      </c>
      <c r="Q17" s="129">
        <f t="shared" si="7"/>
        <v>2178.4939999999997</v>
      </c>
      <c r="R17" s="129">
        <f t="shared" si="18"/>
        <v>486.42959999999999</v>
      </c>
      <c r="S17" s="129">
        <f t="shared" si="8"/>
        <v>2513.2195999999999</v>
      </c>
      <c r="T17" s="128">
        <f t="shared" si="19"/>
        <v>596.87519999999995</v>
      </c>
      <c r="U17" s="128">
        <f t="shared" si="9"/>
        <v>3083.8552</v>
      </c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</row>
    <row r="18" spans="1:256" ht="15.75" customHeight="1" x14ac:dyDescent="0.2">
      <c r="A18" s="127" t="s">
        <v>65</v>
      </c>
      <c r="B18" s="128">
        <f t="shared" si="10"/>
        <v>205.34849999999994</v>
      </c>
      <c r="C18" s="128">
        <f t="shared" si="0"/>
        <v>965.8984999999999</v>
      </c>
      <c r="D18" s="129">
        <f t="shared" si="11"/>
        <v>252.90360000000001</v>
      </c>
      <c r="E18" s="129">
        <f t="shared" si="1"/>
        <v>1189.5835999999999</v>
      </c>
      <c r="F18" s="128">
        <f t="shared" si="12"/>
        <v>276.57719999999995</v>
      </c>
      <c r="G18" s="128">
        <f t="shared" si="2"/>
        <v>1300.9371999999998</v>
      </c>
      <c r="H18" s="129">
        <f t="shared" si="13"/>
        <v>300.72059999999999</v>
      </c>
      <c r="I18" s="129">
        <f t="shared" si="3"/>
        <v>1414.5005999999998</v>
      </c>
      <c r="J18" s="128">
        <f t="shared" si="14"/>
        <v>338.40450000000004</v>
      </c>
      <c r="K18" s="128">
        <f t="shared" si="4"/>
        <v>1591.7545</v>
      </c>
      <c r="L18" s="129">
        <f t="shared" si="15"/>
        <v>384.6825</v>
      </c>
      <c r="M18" s="129">
        <f t="shared" si="5"/>
        <v>1809.4324999999999</v>
      </c>
      <c r="N18" s="128">
        <f t="shared" si="16"/>
        <v>456.10019999999997</v>
      </c>
      <c r="O18" s="128">
        <f t="shared" si="6"/>
        <v>2145.3602000000001</v>
      </c>
      <c r="P18" s="129">
        <f t="shared" si="17"/>
        <v>474.34949999999986</v>
      </c>
      <c r="Q18" s="129">
        <f t="shared" si="7"/>
        <v>2231.1994999999997</v>
      </c>
      <c r="R18" s="129">
        <f t="shared" si="18"/>
        <v>547.23329999999999</v>
      </c>
      <c r="S18" s="129">
        <f t="shared" si="8"/>
        <v>2574.0232999999998</v>
      </c>
      <c r="T18" s="128">
        <f t="shared" si="19"/>
        <v>671.4846</v>
      </c>
      <c r="U18" s="128">
        <f t="shared" si="9"/>
        <v>3158.4646000000002</v>
      </c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31"/>
    </row>
    <row r="19" spans="1:256" ht="15.75" customHeight="1" x14ac:dyDescent="0.2">
      <c r="A19" s="127" t="s">
        <v>66</v>
      </c>
      <c r="B19" s="128">
        <f t="shared" si="10"/>
        <v>228.16499999999994</v>
      </c>
      <c r="C19" s="128">
        <f t="shared" si="0"/>
        <v>988.71499999999992</v>
      </c>
      <c r="D19" s="129">
        <f t="shared" si="11"/>
        <v>281.00400000000002</v>
      </c>
      <c r="E19" s="129">
        <f t="shared" si="1"/>
        <v>1217.684</v>
      </c>
      <c r="F19" s="128">
        <f t="shared" si="12"/>
        <v>307.30799999999994</v>
      </c>
      <c r="G19" s="128">
        <f t="shared" si="2"/>
        <v>1331.6679999999999</v>
      </c>
      <c r="H19" s="129">
        <f t="shared" si="13"/>
        <v>334.13400000000001</v>
      </c>
      <c r="I19" s="129">
        <f t="shared" si="3"/>
        <v>1447.914</v>
      </c>
      <c r="J19" s="128">
        <f t="shared" si="14"/>
        <v>376.00500000000005</v>
      </c>
      <c r="K19" s="128">
        <f t="shared" si="4"/>
        <v>1629.355</v>
      </c>
      <c r="L19" s="129">
        <f t="shared" si="15"/>
        <v>427.42500000000001</v>
      </c>
      <c r="M19" s="129">
        <f t="shared" si="5"/>
        <v>1852.175</v>
      </c>
      <c r="N19" s="128">
        <f t="shared" si="16"/>
        <v>506.77799999999996</v>
      </c>
      <c r="O19" s="128">
        <f t="shared" si="6"/>
        <v>2196.038</v>
      </c>
      <c r="P19" s="129">
        <f t="shared" si="17"/>
        <v>527.05499999999984</v>
      </c>
      <c r="Q19" s="129">
        <f t="shared" si="7"/>
        <v>2283.9049999999997</v>
      </c>
      <c r="R19" s="129">
        <f t="shared" si="18"/>
        <v>608.03700000000003</v>
      </c>
      <c r="S19" s="129">
        <f t="shared" si="8"/>
        <v>2634.8270000000002</v>
      </c>
      <c r="T19" s="128">
        <f t="shared" si="19"/>
        <v>746.09400000000005</v>
      </c>
      <c r="U19" s="128">
        <f t="shared" si="9"/>
        <v>3233.0740000000001</v>
      </c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31"/>
    </row>
    <row r="20" spans="1:256" ht="15.75" customHeight="1" x14ac:dyDescent="0.2">
      <c r="A20" s="127" t="s">
        <v>67</v>
      </c>
      <c r="B20" s="128">
        <f t="shared" si="10"/>
        <v>250.98149999999993</v>
      </c>
      <c r="C20" s="128">
        <f t="shared" si="0"/>
        <v>1011.5314999999998</v>
      </c>
      <c r="D20" s="129">
        <f t="shared" si="11"/>
        <v>309.1044</v>
      </c>
      <c r="E20" s="129">
        <f t="shared" si="1"/>
        <v>1245.7844</v>
      </c>
      <c r="F20" s="128">
        <f t="shared" si="12"/>
        <v>338.03879999999992</v>
      </c>
      <c r="G20" s="128">
        <f t="shared" si="2"/>
        <v>1362.3987999999999</v>
      </c>
      <c r="H20" s="129">
        <f t="shared" si="13"/>
        <v>367.54740000000004</v>
      </c>
      <c r="I20" s="129">
        <f t="shared" si="3"/>
        <v>1481.3274000000001</v>
      </c>
      <c r="J20" s="128">
        <f t="shared" si="14"/>
        <v>413.60550000000006</v>
      </c>
      <c r="K20" s="128">
        <f t="shared" si="4"/>
        <v>1666.9555</v>
      </c>
      <c r="L20" s="129">
        <f t="shared" si="15"/>
        <v>470.16750000000002</v>
      </c>
      <c r="M20" s="129">
        <f t="shared" si="5"/>
        <v>1894.9175</v>
      </c>
      <c r="N20" s="128">
        <f t="shared" si="16"/>
        <v>557.45579999999995</v>
      </c>
      <c r="O20" s="128">
        <f t="shared" si="6"/>
        <v>2246.7157999999999</v>
      </c>
      <c r="P20" s="129">
        <f t="shared" si="17"/>
        <v>579.76049999999987</v>
      </c>
      <c r="Q20" s="129">
        <f t="shared" si="7"/>
        <v>2336.6104999999998</v>
      </c>
      <c r="R20" s="129">
        <f t="shared" si="18"/>
        <v>668.84070000000008</v>
      </c>
      <c r="S20" s="129">
        <f t="shared" si="8"/>
        <v>2695.6307000000002</v>
      </c>
      <c r="T20" s="128">
        <f t="shared" si="19"/>
        <v>820.7034000000001</v>
      </c>
      <c r="U20" s="128">
        <f t="shared" si="9"/>
        <v>3307.6833999999999</v>
      </c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31"/>
    </row>
    <row r="21" spans="1:256" ht="15.75" customHeight="1" x14ac:dyDescent="0.2">
      <c r="A21" s="127" t="s">
        <v>68</v>
      </c>
      <c r="B21" s="128">
        <f t="shared" si="10"/>
        <v>273.79799999999994</v>
      </c>
      <c r="C21" s="128">
        <f t="shared" si="0"/>
        <v>1034.348</v>
      </c>
      <c r="D21" s="129">
        <f t="shared" si="11"/>
        <v>337.20479999999998</v>
      </c>
      <c r="E21" s="129">
        <f t="shared" si="1"/>
        <v>1273.8847999999998</v>
      </c>
      <c r="F21" s="128">
        <f t="shared" si="12"/>
        <v>368.76959999999991</v>
      </c>
      <c r="G21" s="128">
        <f t="shared" si="2"/>
        <v>1393.1295999999998</v>
      </c>
      <c r="H21" s="129">
        <f t="shared" si="13"/>
        <v>400.96080000000006</v>
      </c>
      <c r="I21" s="129">
        <f t="shared" si="3"/>
        <v>1514.7408</v>
      </c>
      <c r="J21" s="128">
        <f t="shared" si="14"/>
        <v>451.20600000000007</v>
      </c>
      <c r="K21" s="128">
        <f t="shared" si="4"/>
        <v>1704.556</v>
      </c>
      <c r="L21" s="129">
        <f t="shared" si="15"/>
        <v>512.91</v>
      </c>
      <c r="M21" s="129">
        <f t="shared" si="5"/>
        <v>1937.6599999999999</v>
      </c>
      <c r="N21" s="128">
        <f t="shared" si="16"/>
        <v>608.1336</v>
      </c>
      <c r="O21" s="128">
        <f t="shared" si="6"/>
        <v>2297.3935999999999</v>
      </c>
      <c r="P21" s="129">
        <f t="shared" si="17"/>
        <v>632.46599999999989</v>
      </c>
      <c r="Q21" s="129">
        <f t="shared" si="7"/>
        <v>2389.3159999999998</v>
      </c>
      <c r="R21" s="129">
        <f t="shared" si="18"/>
        <v>729.64440000000013</v>
      </c>
      <c r="S21" s="129">
        <f t="shared" si="8"/>
        <v>2756.4344000000001</v>
      </c>
      <c r="T21" s="128">
        <f t="shared" si="19"/>
        <v>895.31280000000015</v>
      </c>
      <c r="U21" s="128">
        <f t="shared" si="9"/>
        <v>3382.2928000000002</v>
      </c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31"/>
    </row>
    <row r="22" spans="1:256" ht="15.75" customHeight="1" x14ac:dyDescent="0.2">
      <c r="A22" s="127" t="s">
        <v>69</v>
      </c>
      <c r="B22" s="128">
        <f t="shared" si="10"/>
        <v>296.61449999999996</v>
      </c>
      <c r="C22" s="128">
        <f t="shared" si="0"/>
        <v>1057.1644999999999</v>
      </c>
      <c r="D22" s="129">
        <f t="shared" si="11"/>
        <v>365.30519999999996</v>
      </c>
      <c r="E22" s="129">
        <f t="shared" si="1"/>
        <v>1301.9851999999998</v>
      </c>
      <c r="F22" s="128">
        <f t="shared" si="12"/>
        <v>399.5003999999999</v>
      </c>
      <c r="G22" s="128">
        <f t="shared" si="2"/>
        <v>1423.8603999999998</v>
      </c>
      <c r="H22" s="129">
        <f t="shared" si="13"/>
        <v>434.37420000000009</v>
      </c>
      <c r="I22" s="129">
        <f t="shared" si="3"/>
        <v>1548.1541999999999</v>
      </c>
      <c r="J22" s="128">
        <f t="shared" si="14"/>
        <v>488.80650000000009</v>
      </c>
      <c r="K22" s="128">
        <f t="shared" si="4"/>
        <v>1742.1565000000001</v>
      </c>
      <c r="L22" s="129">
        <f t="shared" si="15"/>
        <v>555.65249999999992</v>
      </c>
      <c r="M22" s="129">
        <f t="shared" si="5"/>
        <v>1980.4024999999999</v>
      </c>
      <c r="N22" s="128">
        <f t="shared" si="16"/>
        <v>658.81140000000005</v>
      </c>
      <c r="O22" s="128">
        <f t="shared" si="6"/>
        <v>2348.0713999999998</v>
      </c>
      <c r="P22" s="129">
        <f t="shared" si="17"/>
        <v>685.17149999999992</v>
      </c>
      <c r="Q22" s="129">
        <f t="shared" si="7"/>
        <v>2442.0214999999998</v>
      </c>
      <c r="R22" s="129">
        <f t="shared" si="18"/>
        <v>790.44810000000018</v>
      </c>
      <c r="S22" s="129">
        <f t="shared" si="8"/>
        <v>2817.2381</v>
      </c>
      <c r="T22" s="128">
        <f t="shared" si="19"/>
        <v>969.9222000000002</v>
      </c>
      <c r="U22" s="128">
        <f t="shared" si="9"/>
        <v>3456.9022000000004</v>
      </c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  <c r="IH22" s="131"/>
      <c r="II22" s="131"/>
      <c r="IJ22" s="131"/>
      <c r="IK22" s="131"/>
      <c r="IL22" s="131"/>
      <c r="IM22" s="131"/>
      <c r="IN22" s="131"/>
      <c r="IO22" s="131"/>
      <c r="IP22" s="131"/>
      <c r="IQ22" s="131"/>
      <c r="IR22" s="131"/>
      <c r="IS22" s="131"/>
      <c r="IT22" s="131"/>
      <c r="IU22" s="131"/>
      <c r="IV22" s="131"/>
    </row>
    <row r="23" spans="1:256" ht="15.75" customHeight="1" x14ac:dyDescent="0.2">
      <c r="A23" s="127" t="s">
        <v>70</v>
      </c>
      <c r="B23" s="128">
        <f t="shared" si="10"/>
        <v>319.43099999999998</v>
      </c>
      <c r="C23" s="128">
        <f t="shared" si="0"/>
        <v>1079.981</v>
      </c>
      <c r="D23" s="129">
        <f t="shared" si="11"/>
        <v>393.40559999999994</v>
      </c>
      <c r="E23" s="129">
        <f t="shared" si="1"/>
        <v>1330.0855999999999</v>
      </c>
      <c r="F23" s="128">
        <f t="shared" si="12"/>
        <v>430.23119999999989</v>
      </c>
      <c r="G23" s="128">
        <f t="shared" si="2"/>
        <v>1454.5911999999998</v>
      </c>
      <c r="H23" s="129">
        <f t="shared" si="13"/>
        <v>467.78760000000011</v>
      </c>
      <c r="I23" s="129">
        <f t="shared" si="3"/>
        <v>1581.5676000000001</v>
      </c>
      <c r="J23" s="128">
        <f t="shared" si="14"/>
        <v>526.40700000000004</v>
      </c>
      <c r="K23" s="128">
        <f t="shared" si="4"/>
        <v>1779.7570000000001</v>
      </c>
      <c r="L23" s="129">
        <f t="shared" si="15"/>
        <v>598.39499999999987</v>
      </c>
      <c r="M23" s="129">
        <f t="shared" si="5"/>
        <v>2023.145</v>
      </c>
      <c r="N23" s="128">
        <f t="shared" si="16"/>
        <v>709.4892000000001</v>
      </c>
      <c r="O23" s="128">
        <f t="shared" si="6"/>
        <v>2398.7492000000002</v>
      </c>
      <c r="P23" s="129">
        <f t="shared" si="17"/>
        <v>737.87699999999995</v>
      </c>
      <c r="Q23" s="129">
        <f t="shared" si="7"/>
        <v>2494.7269999999999</v>
      </c>
      <c r="R23" s="129">
        <f t="shared" si="18"/>
        <v>851.25180000000023</v>
      </c>
      <c r="S23" s="129">
        <f t="shared" si="8"/>
        <v>2878.0418</v>
      </c>
      <c r="T23" s="128">
        <f t="shared" si="19"/>
        <v>1044.5316000000003</v>
      </c>
      <c r="U23" s="128">
        <f t="shared" si="9"/>
        <v>3531.5116000000003</v>
      </c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1"/>
      <c r="HB23" s="131"/>
      <c r="HC23" s="131"/>
      <c r="HD23" s="131"/>
      <c r="HE23" s="131"/>
      <c r="HF23" s="131"/>
      <c r="HG23" s="131"/>
      <c r="HH23" s="131"/>
      <c r="HI23" s="131"/>
      <c r="HJ23" s="131"/>
      <c r="HK23" s="131"/>
      <c r="HL23" s="131"/>
      <c r="HM23" s="131"/>
      <c r="HN23" s="131"/>
      <c r="HO23" s="131"/>
      <c r="HP23" s="131"/>
      <c r="HQ23" s="131"/>
      <c r="HR23" s="131"/>
      <c r="HS23" s="131"/>
      <c r="HT23" s="131"/>
      <c r="HU23" s="131"/>
      <c r="HV23" s="131"/>
      <c r="HW23" s="131"/>
      <c r="HX23" s="131"/>
      <c r="HY23" s="131"/>
      <c r="HZ23" s="131"/>
      <c r="IA23" s="131"/>
      <c r="IB23" s="131"/>
      <c r="IC23" s="131"/>
      <c r="ID23" s="131"/>
      <c r="IE23" s="131"/>
      <c r="IF23" s="131"/>
      <c r="IG23" s="131"/>
      <c r="IH23" s="131"/>
      <c r="II23" s="131"/>
      <c r="IJ23" s="131"/>
      <c r="IK23" s="131"/>
      <c r="IL23" s="131"/>
      <c r="IM23" s="131"/>
      <c r="IN23" s="131"/>
      <c r="IO23" s="131"/>
      <c r="IP23" s="131"/>
      <c r="IQ23" s="131"/>
      <c r="IR23" s="131"/>
      <c r="IS23" s="131"/>
      <c r="IT23" s="131"/>
      <c r="IU23" s="131"/>
      <c r="IV23" s="131"/>
    </row>
    <row r="24" spans="1:256" ht="15.75" customHeight="1" x14ac:dyDescent="0.2">
      <c r="A24" s="127" t="s">
        <v>71</v>
      </c>
      <c r="B24" s="128">
        <f t="shared" si="10"/>
        <v>342.2475</v>
      </c>
      <c r="C24" s="128">
        <f t="shared" si="0"/>
        <v>1102.7974999999999</v>
      </c>
      <c r="D24" s="129">
        <f t="shared" si="11"/>
        <v>421.50599999999991</v>
      </c>
      <c r="E24" s="129">
        <f t="shared" si="1"/>
        <v>1358.1859999999999</v>
      </c>
      <c r="F24" s="128">
        <f t="shared" si="12"/>
        <v>460.96199999999988</v>
      </c>
      <c r="G24" s="128">
        <f t="shared" si="2"/>
        <v>1485.3219999999997</v>
      </c>
      <c r="H24" s="129">
        <f t="shared" si="13"/>
        <v>501.20100000000014</v>
      </c>
      <c r="I24" s="129">
        <f t="shared" si="3"/>
        <v>1614.9810000000002</v>
      </c>
      <c r="J24" s="128">
        <f t="shared" si="14"/>
        <v>564.00750000000005</v>
      </c>
      <c r="K24" s="128">
        <f t="shared" si="4"/>
        <v>1817.3575000000001</v>
      </c>
      <c r="L24" s="129">
        <f t="shared" si="15"/>
        <v>641.13749999999982</v>
      </c>
      <c r="M24" s="129">
        <f t="shared" si="5"/>
        <v>2065.8874999999998</v>
      </c>
      <c r="N24" s="128">
        <f t="shared" si="16"/>
        <v>760.16700000000014</v>
      </c>
      <c r="O24" s="128">
        <f t="shared" si="6"/>
        <v>2449.4270000000001</v>
      </c>
      <c r="P24" s="129">
        <f t="shared" si="17"/>
        <v>790.58249999999998</v>
      </c>
      <c r="Q24" s="129">
        <f t="shared" si="7"/>
        <v>2547.4324999999999</v>
      </c>
      <c r="R24" s="129">
        <f t="shared" si="18"/>
        <v>912.05550000000028</v>
      </c>
      <c r="S24" s="129">
        <f t="shared" si="8"/>
        <v>2938.8455000000004</v>
      </c>
      <c r="T24" s="128">
        <f t="shared" si="19"/>
        <v>1119.1410000000003</v>
      </c>
      <c r="U24" s="128">
        <f t="shared" si="9"/>
        <v>3606.1210000000001</v>
      </c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  <c r="HX24" s="131"/>
      <c r="HY24" s="131"/>
      <c r="HZ24" s="131"/>
      <c r="IA24" s="131"/>
      <c r="IB24" s="131"/>
      <c r="IC24" s="131"/>
      <c r="ID24" s="131"/>
      <c r="IE24" s="131"/>
      <c r="IF24" s="131"/>
      <c r="IG24" s="131"/>
      <c r="IH24" s="131"/>
      <c r="II24" s="131"/>
      <c r="IJ24" s="131"/>
      <c r="IK24" s="131"/>
      <c r="IL24" s="131"/>
      <c r="IM24" s="131"/>
      <c r="IN24" s="131"/>
      <c r="IO24" s="131"/>
      <c r="IP24" s="131"/>
      <c r="IQ24" s="131"/>
      <c r="IR24" s="131"/>
      <c r="IS24" s="131"/>
      <c r="IT24" s="131"/>
      <c r="IU24" s="131"/>
      <c r="IV24" s="131"/>
    </row>
    <row r="25" spans="1:256" ht="15.75" customHeight="1" x14ac:dyDescent="0.2">
      <c r="A25" s="127" t="s">
        <v>72</v>
      </c>
      <c r="B25" s="128">
        <f t="shared" si="10"/>
        <v>365.06400000000002</v>
      </c>
      <c r="C25" s="128">
        <f t="shared" si="0"/>
        <v>1125.614</v>
      </c>
      <c r="D25" s="129">
        <f t="shared" si="11"/>
        <v>449.60639999999989</v>
      </c>
      <c r="E25" s="129">
        <f t="shared" si="1"/>
        <v>1386.2864</v>
      </c>
      <c r="F25" s="128">
        <f t="shared" si="12"/>
        <v>491.69279999999986</v>
      </c>
      <c r="G25" s="128">
        <f t="shared" si="2"/>
        <v>1516.0527999999997</v>
      </c>
      <c r="H25" s="129">
        <f t="shared" si="13"/>
        <v>534.61440000000016</v>
      </c>
      <c r="I25" s="129">
        <f t="shared" si="3"/>
        <v>1648.3944000000001</v>
      </c>
      <c r="J25" s="128">
        <f t="shared" si="14"/>
        <v>601.60800000000006</v>
      </c>
      <c r="K25" s="128">
        <f t="shared" si="4"/>
        <v>1854.9580000000001</v>
      </c>
      <c r="L25" s="129">
        <f t="shared" si="15"/>
        <v>683.87999999999977</v>
      </c>
      <c r="M25" s="129">
        <f t="shared" si="5"/>
        <v>2108.6299999999997</v>
      </c>
      <c r="N25" s="128">
        <f t="shared" si="16"/>
        <v>810.84480000000019</v>
      </c>
      <c r="O25" s="128">
        <f t="shared" si="6"/>
        <v>2500.1048000000001</v>
      </c>
      <c r="P25" s="129">
        <f t="shared" si="17"/>
        <v>843.28800000000001</v>
      </c>
      <c r="Q25" s="129">
        <f t="shared" si="7"/>
        <v>2600.1379999999999</v>
      </c>
      <c r="R25" s="129">
        <f t="shared" si="18"/>
        <v>972.85920000000033</v>
      </c>
      <c r="S25" s="129">
        <f t="shared" si="8"/>
        <v>2999.6492000000003</v>
      </c>
      <c r="T25" s="128">
        <f t="shared" si="19"/>
        <v>1193.7504000000004</v>
      </c>
      <c r="U25" s="128">
        <f t="shared" si="9"/>
        <v>3680.7304000000004</v>
      </c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31"/>
      <c r="EK25" s="131"/>
      <c r="EL25" s="131"/>
      <c r="EM25" s="131"/>
      <c r="EN25" s="131"/>
      <c r="EO25" s="131"/>
      <c r="EP25" s="131"/>
      <c r="EQ25" s="131"/>
      <c r="ER25" s="131"/>
      <c r="ES25" s="131"/>
      <c r="ET25" s="131"/>
      <c r="EU25" s="131"/>
      <c r="EV25" s="131"/>
      <c r="EW25" s="131"/>
      <c r="EX25" s="131"/>
      <c r="EY25" s="131"/>
      <c r="EZ25" s="131"/>
      <c r="FA25" s="131"/>
      <c r="FB25" s="131"/>
      <c r="FC25" s="131"/>
      <c r="FD25" s="131"/>
      <c r="FE25" s="131"/>
      <c r="FF25" s="131"/>
      <c r="FG25" s="131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1"/>
      <c r="FU25" s="131"/>
      <c r="FV25" s="131"/>
      <c r="FW25" s="131"/>
      <c r="FX25" s="131"/>
      <c r="FY25" s="131"/>
      <c r="FZ25" s="131"/>
      <c r="GA25" s="131"/>
      <c r="GB25" s="131"/>
      <c r="GC25" s="131"/>
      <c r="GD25" s="131"/>
      <c r="GE25" s="131"/>
      <c r="GF25" s="131"/>
      <c r="GG25" s="131"/>
      <c r="GH25" s="131"/>
      <c r="GI25" s="131"/>
      <c r="GJ25" s="131"/>
      <c r="GK25" s="131"/>
      <c r="GL25" s="131"/>
      <c r="GM25" s="131"/>
      <c r="GN25" s="131"/>
      <c r="GO25" s="131"/>
      <c r="GP25" s="131"/>
      <c r="GQ25" s="131"/>
      <c r="GR25" s="131"/>
      <c r="GS25" s="131"/>
      <c r="GT25" s="131"/>
      <c r="GU25" s="131"/>
      <c r="GV25" s="131"/>
      <c r="GW25" s="131"/>
      <c r="GX25" s="131"/>
      <c r="GY25" s="131"/>
      <c r="GZ25" s="131"/>
      <c r="HA25" s="131"/>
      <c r="HB25" s="131"/>
      <c r="HC25" s="131"/>
      <c r="HD25" s="131"/>
      <c r="HE25" s="131"/>
      <c r="HF25" s="131"/>
      <c r="HG25" s="131"/>
      <c r="HH25" s="131"/>
      <c r="HI25" s="131"/>
      <c r="HJ25" s="131"/>
      <c r="HK25" s="131"/>
      <c r="HL25" s="131"/>
      <c r="HM25" s="131"/>
      <c r="HN25" s="131"/>
      <c r="HO25" s="131"/>
      <c r="HP25" s="131"/>
      <c r="HQ25" s="131"/>
      <c r="HR25" s="131"/>
      <c r="HS25" s="131"/>
      <c r="HT25" s="131"/>
      <c r="HU25" s="131"/>
      <c r="HV25" s="131"/>
      <c r="HW25" s="131"/>
      <c r="HX25" s="131"/>
      <c r="HY25" s="131"/>
      <c r="HZ25" s="131"/>
      <c r="IA25" s="131"/>
      <c r="IB25" s="131"/>
      <c r="IC25" s="131"/>
      <c r="ID25" s="131"/>
      <c r="IE25" s="131"/>
      <c r="IF25" s="131"/>
      <c r="IG25" s="131"/>
      <c r="IH25" s="131"/>
      <c r="II25" s="131"/>
      <c r="IJ25" s="131"/>
      <c r="IK25" s="131"/>
      <c r="IL25" s="131"/>
      <c r="IM25" s="131"/>
      <c r="IN25" s="131"/>
      <c r="IO25" s="131"/>
      <c r="IP25" s="131"/>
      <c r="IQ25" s="131"/>
      <c r="IR25" s="131"/>
      <c r="IS25" s="131"/>
      <c r="IT25" s="131"/>
      <c r="IU25" s="131"/>
      <c r="IV25" s="131"/>
    </row>
    <row r="26" spans="1:256" ht="15.75" customHeight="1" x14ac:dyDescent="0.2">
      <c r="A26" s="127" t="s">
        <v>73</v>
      </c>
      <c r="B26" s="128">
        <f t="shared" si="10"/>
        <v>387.88050000000004</v>
      </c>
      <c r="C26" s="128">
        <f t="shared" si="0"/>
        <v>1148.4304999999999</v>
      </c>
      <c r="D26" s="129">
        <f t="shared" si="11"/>
        <v>477.70679999999987</v>
      </c>
      <c r="E26" s="129">
        <f t="shared" si="1"/>
        <v>1414.3867999999998</v>
      </c>
      <c r="F26" s="128">
        <f t="shared" si="12"/>
        <v>522.42359999999985</v>
      </c>
      <c r="G26" s="128">
        <f t="shared" si="2"/>
        <v>1546.7835999999998</v>
      </c>
      <c r="H26" s="129">
        <f t="shared" si="13"/>
        <v>568.02780000000018</v>
      </c>
      <c r="I26" s="129">
        <f t="shared" si="3"/>
        <v>1681.8078</v>
      </c>
      <c r="J26" s="128">
        <f t="shared" si="14"/>
        <v>639.20850000000007</v>
      </c>
      <c r="K26" s="128">
        <f t="shared" si="4"/>
        <v>1892.5585000000001</v>
      </c>
      <c r="L26" s="129">
        <f t="shared" si="15"/>
        <v>726.62249999999972</v>
      </c>
      <c r="M26" s="129">
        <f t="shared" si="5"/>
        <v>2151.3724999999995</v>
      </c>
      <c r="N26" s="128">
        <f t="shared" si="16"/>
        <v>861.52260000000024</v>
      </c>
      <c r="O26" s="128">
        <f t="shared" si="6"/>
        <v>2550.7826000000005</v>
      </c>
      <c r="P26" s="129">
        <f t="shared" si="17"/>
        <v>895.99350000000004</v>
      </c>
      <c r="Q26" s="129">
        <f t="shared" si="7"/>
        <v>2652.8434999999999</v>
      </c>
      <c r="R26" s="129">
        <f t="shared" si="18"/>
        <v>1033.6629000000003</v>
      </c>
      <c r="S26" s="129">
        <f t="shared" si="8"/>
        <v>3060.4529000000002</v>
      </c>
      <c r="T26" s="128">
        <f t="shared" si="19"/>
        <v>1268.3598000000004</v>
      </c>
      <c r="U26" s="128">
        <f t="shared" si="9"/>
        <v>3755.3398000000007</v>
      </c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1"/>
      <c r="GD26" s="131"/>
      <c r="GE26" s="131"/>
      <c r="GF26" s="131"/>
      <c r="GG26" s="131"/>
      <c r="GH26" s="131"/>
      <c r="GI26" s="131"/>
      <c r="GJ26" s="131"/>
      <c r="GK26" s="131"/>
      <c r="GL26" s="131"/>
      <c r="GM26" s="131"/>
      <c r="GN26" s="131"/>
      <c r="GO26" s="131"/>
      <c r="GP26" s="131"/>
      <c r="GQ26" s="131"/>
      <c r="GR26" s="131"/>
      <c r="GS26" s="131"/>
      <c r="GT26" s="131"/>
      <c r="GU26" s="131"/>
      <c r="GV26" s="131"/>
      <c r="GW26" s="131"/>
      <c r="GX26" s="131"/>
      <c r="GY26" s="131"/>
      <c r="GZ26" s="131"/>
      <c r="HA26" s="131"/>
      <c r="HB26" s="131"/>
      <c r="HC26" s="131"/>
      <c r="HD26" s="131"/>
      <c r="HE26" s="131"/>
      <c r="HF26" s="131"/>
      <c r="HG26" s="131"/>
      <c r="HH26" s="131"/>
      <c r="HI26" s="131"/>
      <c r="HJ26" s="131"/>
      <c r="HK26" s="131"/>
      <c r="HL26" s="131"/>
      <c r="HM26" s="131"/>
      <c r="HN26" s="131"/>
      <c r="HO26" s="131"/>
      <c r="HP26" s="131"/>
      <c r="HQ26" s="131"/>
      <c r="HR26" s="131"/>
      <c r="HS26" s="131"/>
      <c r="HT26" s="131"/>
      <c r="HU26" s="131"/>
      <c r="HV26" s="131"/>
      <c r="HW26" s="131"/>
      <c r="HX26" s="131"/>
      <c r="HY26" s="131"/>
      <c r="HZ26" s="131"/>
      <c r="IA26" s="131"/>
      <c r="IB26" s="131"/>
      <c r="IC26" s="131"/>
      <c r="ID26" s="131"/>
      <c r="IE26" s="131"/>
      <c r="IF26" s="131"/>
      <c r="IG26" s="131"/>
      <c r="IH26" s="131"/>
      <c r="II26" s="131"/>
      <c r="IJ26" s="131"/>
      <c r="IK26" s="131"/>
      <c r="IL26" s="131"/>
      <c r="IM26" s="131"/>
      <c r="IN26" s="131"/>
      <c r="IO26" s="131"/>
      <c r="IP26" s="131"/>
      <c r="IQ26" s="131"/>
      <c r="IR26" s="131"/>
      <c r="IS26" s="131"/>
      <c r="IT26" s="131"/>
      <c r="IU26" s="131"/>
      <c r="IV26" s="131"/>
    </row>
    <row r="27" spans="1:256" ht="15.75" customHeight="1" x14ac:dyDescent="0.2">
      <c r="A27" s="127" t="s">
        <v>74</v>
      </c>
      <c r="B27" s="128">
        <f t="shared" si="10"/>
        <v>410.69700000000006</v>
      </c>
      <c r="C27" s="128">
        <f t="shared" si="0"/>
        <v>1171.2470000000001</v>
      </c>
      <c r="D27" s="129">
        <f t="shared" si="11"/>
        <v>505.80719999999985</v>
      </c>
      <c r="E27" s="129">
        <f t="shared" si="1"/>
        <v>1442.4871999999998</v>
      </c>
      <c r="F27" s="128">
        <f t="shared" si="12"/>
        <v>553.1543999999999</v>
      </c>
      <c r="G27" s="128">
        <f t="shared" si="2"/>
        <v>1577.5143999999998</v>
      </c>
      <c r="H27" s="129">
        <f t="shared" si="13"/>
        <v>601.44120000000021</v>
      </c>
      <c r="I27" s="129">
        <f t="shared" si="3"/>
        <v>1715.2212000000002</v>
      </c>
      <c r="J27" s="128">
        <f t="shared" si="14"/>
        <v>676.80900000000008</v>
      </c>
      <c r="K27" s="128">
        <f t="shared" si="4"/>
        <v>1930.1590000000001</v>
      </c>
      <c r="L27" s="129">
        <f t="shared" si="15"/>
        <v>769.36499999999967</v>
      </c>
      <c r="M27" s="129">
        <f t="shared" si="5"/>
        <v>2194.1149999999998</v>
      </c>
      <c r="N27" s="128">
        <f t="shared" si="16"/>
        <v>912.20040000000029</v>
      </c>
      <c r="O27" s="128">
        <f t="shared" si="6"/>
        <v>2601.4604000000004</v>
      </c>
      <c r="P27" s="129">
        <f t="shared" si="17"/>
        <v>948.69900000000007</v>
      </c>
      <c r="Q27" s="129">
        <f t="shared" si="7"/>
        <v>2705.549</v>
      </c>
      <c r="R27" s="129">
        <f t="shared" si="18"/>
        <v>1094.4666000000002</v>
      </c>
      <c r="S27" s="129">
        <f t="shared" si="8"/>
        <v>3121.2566000000002</v>
      </c>
      <c r="T27" s="128">
        <f t="shared" si="19"/>
        <v>1342.9692000000005</v>
      </c>
      <c r="U27" s="128">
        <f t="shared" si="9"/>
        <v>3829.9492000000005</v>
      </c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1"/>
      <c r="GB27" s="131"/>
      <c r="GC27" s="131"/>
      <c r="GD27" s="131"/>
      <c r="GE27" s="131"/>
      <c r="GF27" s="131"/>
      <c r="GG27" s="131"/>
      <c r="GH27" s="131"/>
      <c r="GI27" s="131"/>
      <c r="GJ27" s="131"/>
      <c r="GK27" s="131"/>
      <c r="GL27" s="131"/>
      <c r="GM27" s="131"/>
      <c r="GN27" s="131"/>
      <c r="GO27" s="131"/>
      <c r="GP27" s="131"/>
      <c r="GQ27" s="131"/>
      <c r="GR27" s="131"/>
      <c r="GS27" s="131"/>
      <c r="GT27" s="131"/>
      <c r="GU27" s="131"/>
      <c r="GV27" s="131"/>
      <c r="GW27" s="131"/>
      <c r="GX27" s="131"/>
      <c r="GY27" s="131"/>
      <c r="GZ27" s="131"/>
      <c r="HA27" s="131"/>
      <c r="HB27" s="131"/>
      <c r="HC27" s="131"/>
      <c r="HD27" s="131"/>
      <c r="HE27" s="131"/>
      <c r="HF27" s="131"/>
      <c r="HG27" s="131"/>
      <c r="HH27" s="131"/>
      <c r="HI27" s="131"/>
      <c r="HJ27" s="131"/>
      <c r="HK27" s="131"/>
      <c r="HL27" s="131"/>
      <c r="HM27" s="131"/>
      <c r="HN27" s="131"/>
      <c r="HO27" s="131"/>
      <c r="HP27" s="131"/>
      <c r="HQ27" s="131"/>
      <c r="HR27" s="131"/>
      <c r="HS27" s="131"/>
      <c r="HT27" s="131"/>
      <c r="HU27" s="131"/>
      <c r="HV27" s="131"/>
      <c r="HW27" s="131"/>
      <c r="HX27" s="131"/>
      <c r="HY27" s="131"/>
      <c r="HZ27" s="131"/>
      <c r="IA27" s="131"/>
      <c r="IB27" s="131"/>
      <c r="IC27" s="131"/>
      <c r="ID27" s="131"/>
      <c r="IE27" s="131"/>
      <c r="IF27" s="131"/>
      <c r="IG27" s="131"/>
      <c r="IH27" s="131"/>
      <c r="II27" s="131"/>
      <c r="IJ27" s="131"/>
      <c r="IK27" s="131"/>
      <c r="IL27" s="131"/>
      <c r="IM27" s="131"/>
      <c r="IN27" s="131"/>
      <c r="IO27" s="131"/>
      <c r="IP27" s="131"/>
      <c r="IQ27" s="131"/>
      <c r="IR27" s="131"/>
      <c r="IS27" s="131"/>
      <c r="IT27" s="131"/>
      <c r="IU27" s="131"/>
      <c r="IV27" s="131"/>
    </row>
    <row r="28" spans="1:256" ht="15.75" customHeight="1" x14ac:dyDescent="0.2">
      <c r="A28" s="127" t="s">
        <v>75</v>
      </c>
      <c r="B28" s="128">
        <f t="shared" si="10"/>
        <v>433.51350000000008</v>
      </c>
      <c r="C28" s="128">
        <f t="shared" si="0"/>
        <v>1194.0635</v>
      </c>
      <c r="D28" s="129">
        <f t="shared" si="11"/>
        <v>533.90759999999989</v>
      </c>
      <c r="E28" s="129">
        <f t="shared" si="1"/>
        <v>1470.5875999999998</v>
      </c>
      <c r="F28" s="128">
        <f t="shared" si="12"/>
        <v>583.88519999999994</v>
      </c>
      <c r="G28" s="128">
        <f t="shared" si="2"/>
        <v>1608.2451999999998</v>
      </c>
      <c r="H28" s="129">
        <f t="shared" si="13"/>
        <v>634.85460000000023</v>
      </c>
      <c r="I28" s="129">
        <f t="shared" si="3"/>
        <v>1748.6346000000003</v>
      </c>
      <c r="J28" s="128">
        <f t="shared" si="14"/>
        <v>714.40950000000009</v>
      </c>
      <c r="K28" s="128">
        <f t="shared" si="4"/>
        <v>1967.7595000000001</v>
      </c>
      <c r="L28" s="129">
        <f t="shared" si="15"/>
        <v>812.10749999999962</v>
      </c>
      <c r="M28" s="129">
        <f t="shared" si="5"/>
        <v>2236.8574999999996</v>
      </c>
      <c r="N28" s="128">
        <f t="shared" si="16"/>
        <v>962.87820000000033</v>
      </c>
      <c r="O28" s="128">
        <f t="shared" si="6"/>
        <v>2652.1382000000003</v>
      </c>
      <c r="P28" s="129">
        <f t="shared" si="17"/>
        <v>1001.4045000000001</v>
      </c>
      <c r="Q28" s="129">
        <f t="shared" si="7"/>
        <v>2758.2545</v>
      </c>
      <c r="R28" s="129">
        <f t="shared" si="18"/>
        <v>1155.2703000000001</v>
      </c>
      <c r="S28" s="129">
        <f t="shared" si="8"/>
        <v>3182.0603000000001</v>
      </c>
      <c r="T28" s="128">
        <f t="shared" si="19"/>
        <v>1417.5786000000005</v>
      </c>
      <c r="U28" s="128">
        <f t="shared" si="9"/>
        <v>3904.5586000000003</v>
      </c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131"/>
      <c r="GB28" s="131"/>
      <c r="GC28" s="131"/>
      <c r="GD28" s="131"/>
      <c r="GE28" s="131"/>
      <c r="GF28" s="131"/>
      <c r="GG28" s="131"/>
      <c r="GH28" s="131"/>
      <c r="GI28" s="131"/>
      <c r="GJ28" s="131"/>
      <c r="GK28" s="131"/>
      <c r="GL28" s="131"/>
      <c r="GM28" s="131"/>
      <c r="GN28" s="131"/>
      <c r="GO28" s="131"/>
      <c r="GP28" s="131"/>
      <c r="GQ28" s="131"/>
      <c r="GR28" s="131"/>
      <c r="GS28" s="131"/>
      <c r="GT28" s="131"/>
      <c r="GU28" s="131"/>
      <c r="GV28" s="131"/>
      <c r="GW28" s="131"/>
      <c r="GX28" s="131"/>
      <c r="GY28" s="131"/>
      <c r="GZ28" s="131"/>
      <c r="HA28" s="131"/>
      <c r="HB28" s="131"/>
      <c r="HC28" s="131"/>
      <c r="HD28" s="131"/>
      <c r="HE28" s="131"/>
      <c r="HF28" s="131"/>
      <c r="HG28" s="131"/>
      <c r="HH28" s="131"/>
      <c r="HI28" s="131"/>
      <c r="HJ28" s="131"/>
      <c r="HK28" s="131"/>
      <c r="HL28" s="131"/>
      <c r="HM28" s="131"/>
      <c r="HN28" s="131"/>
      <c r="HO28" s="131"/>
      <c r="HP28" s="131"/>
      <c r="HQ28" s="131"/>
      <c r="HR28" s="131"/>
      <c r="HS28" s="131"/>
      <c r="HT28" s="131"/>
      <c r="HU28" s="131"/>
      <c r="HV28" s="131"/>
      <c r="HW28" s="131"/>
      <c r="HX28" s="131"/>
      <c r="HY28" s="131"/>
      <c r="HZ28" s="131"/>
      <c r="IA28" s="131"/>
      <c r="IB28" s="131"/>
      <c r="IC28" s="131"/>
      <c r="ID28" s="131"/>
      <c r="IE28" s="131"/>
      <c r="IF28" s="131"/>
      <c r="IG28" s="131"/>
      <c r="IH28" s="131"/>
      <c r="II28" s="131"/>
      <c r="IJ28" s="131"/>
      <c r="IK28" s="131"/>
      <c r="IL28" s="131"/>
      <c r="IM28" s="131"/>
      <c r="IN28" s="131"/>
      <c r="IO28" s="131"/>
      <c r="IP28" s="131"/>
      <c r="IQ28" s="131"/>
      <c r="IR28" s="131"/>
      <c r="IS28" s="131"/>
      <c r="IT28" s="131"/>
      <c r="IU28" s="131"/>
      <c r="IV28" s="131"/>
    </row>
    <row r="29" spans="1:256" ht="15.75" customHeight="1" x14ac:dyDescent="0.2">
      <c r="A29" s="127" t="s">
        <v>76</v>
      </c>
      <c r="B29" s="128">
        <f t="shared" si="10"/>
        <v>456.3300000000001</v>
      </c>
      <c r="C29" s="128">
        <f t="shared" si="0"/>
        <v>1216.8800000000001</v>
      </c>
      <c r="D29" s="129">
        <f t="shared" si="11"/>
        <v>562.00799999999992</v>
      </c>
      <c r="E29" s="129">
        <f t="shared" si="1"/>
        <v>1498.6879999999999</v>
      </c>
      <c r="F29" s="128">
        <f t="shared" si="12"/>
        <v>614.61599999999999</v>
      </c>
      <c r="G29" s="128">
        <f t="shared" si="2"/>
        <v>1638.9759999999999</v>
      </c>
      <c r="H29" s="129">
        <f t="shared" si="13"/>
        <v>668.26800000000026</v>
      </c>
      <c r="I29" s="129">
        <f t="shared" si="3"/>
        <v>1782.0480000000002</v>
      </c>
      <c r="J29" s="128">
        <f t="shared" si="14"/>
        <v>752.0100000000001</v>
      </c>
      <c r="K29" s="128">
        <f t="shared" si="4"/>
        <v>2005.3600000000001</v>
      </c>
      <c r="L29" s="129">
        <f t="shared" si="15"/>
        <v>854.84999999999957</v>
      </c>
      <c r="M29" s="129">
        <f t="shared" si="5"/>
        <v>2279.5999999999995</v>
      </c>
      <c r="N29" s="128">
        <f t="shared" si="16"/>
        <v>1013.5560000000004</v>
      </c>
      <c r="O29" s="128">
        <f t="shared" si="6"/>
        <v>2702.8160000000003</v>
      </c>
      <c r="P29" s="129">
        <f t="shared" si="17"/>
        <v>1054.1100000000001</v>
      </c>
      <c r="Q29" s="129">
        <f t="shared" si="7"/>
        <v>2810.96</v>
      </c>
      <c r="R29" s="129">
        <f t="shared" si="18"/>
        <v>1216.0740000000001</v>
      </c>
      <c r="S29" s="129">
        <f t="shared" si="8"/>
        <v>3242.864</v>
      </c>
      <c r="T29" s="128">
        <f t="shared" si="19"/>
        <v>1492.1880000000006</v>
      </c>
      <c r="U29" s="128">
        <f t="shared" si="9"/>
        <v>3979.1680000000006</v>
      </c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  <c r="GH29" s="131"/>
      <c r="GI29" s="131"/>
      <c r="GJ29" s="131"/>
      <c r="GK29" s="131"/>
      <c r="GL29" s="131"/>
      <c r="GM29" s="131"/>
      <c r="GN29" s="131"/>
      <c r="GO29" s="131"/>
      <c r="GP29" s="131"/>
      <c r="GQ29" s="131"/>
      <c r="GR29" s="131"/>
      <c r="GS29" s="131"/>
      <c r="GT29" s="131"/>
      <c r="GU29" s="131"/>
      <c r="GV29" s="131"/>
      <c r="GW29" s="131"/>
      <c r="GX29" s="131"/>
      <c r="GY29" s="131"/>
      <c r="GZ29" s="131"/>
      <c r="HA29" s="131"/>
      <c r="HB29" s="131"/>
      <c r="HC29" s="131"/>
      <c r="HD29" s="131"/>
      <c r="HE29" s="131"/>
      <c r="HF29" s="131"/>
      <c r="HG29" s="131"/>
      <c r="HH29" s="131"/>
      <c r="HI29" s="131"/>
      <c r="HJ29" s="131"/>
      <c r="HK29" s="131"/>
      <c r="HL29" s="131"/>
      <c r="HM29" s="131"/>
      <c r="HN29" s="131"/>
      <c r="HO29" s="131"/>
      <c r="HP29" s="131"/>
      <c r="HQ29" s="131"/>
      <c r="HR29" s="131"/>
      <c r="HS29" s="131"/>
      <c r="HT29" s="131"/>
      <c r="HU29" s="131"/>
      <c r="HV29" s="131"/>
      <c r="HW29" s="131"/>
      <c r="HX29" s="131"/>
      <c r="HY29" s="131"/>
      <c r="HZ29" s="131"/>
      <c r="IA29" s="131"/>
      <c r="IB29" s="131"/>
      <c r="IC29" s="131"/>
      <c r="ID29" s="131"/>
      <c r="IE29" s="131"/>
      <c r="IF29" s="131"/>
      <c r="IG29" s="131"/>
      <c r="IH29" s="131"/>
      <c r="II29" s="131"/>
      <c r="IJ29" s="131"/>
      <c r="IK29" s="131"/>
      <c r="IL29" s="131"/>
      <c r="IM29" s="131"/>
      <c r="IN29" s="131"/>
      <c r="IO29" s="131"/>
      <c r="IP29" s="131"/>
      <c r="IQ29" s="131"/>
      <c r="IR29" s="131"/>
      <c r="IS29" s="131"/>
      <c r="IT29" s="131"/>
      <c r="IU29" s="131"/>
      <c r="IV29" s="131"/>
    </row>
    <row r="30" spans="1:256" ht="15.75" customHeight="1" x14ac:dyDescent="0.2">
      <c r="A30" s="127" t="s">
        <v>77</v>
      </c>
      <c r="B30" s="128">
        <f t="shared" si="10"/>
        <v>479.14650000000012</v>
      </c>
      <c r="C30" s="128">
        <f t="shared" si="0"/>
        <v>1239.6965</v>
      </c>
      <c r="D30" s="129">
        <f t="shared" si="11"/>
        <v>590.10839999999996</v>
      </c>
      <c r="E30" s="129">
        <f t="shared" si="1"/>
        <v>1526.7883999999999</v>
      </c>
      <c r="F30" s="128">
        <f t="shared" si="12"/>
        <v>645.34680000000003</v>
      </c>
      <c r="G30" s="128">
        <f t="shared" si="2"/>
        <v>1669.7067999999999</v>
      </c>
      <c r="H30" s="129">
        <f t="shared" si="13"/>
        <v>701.68140000000028</v>
      </c>
      <c r="I30" s="129">
        <f t="shared" si="3"/>
        <v>1815.4614000000001</v>
      </c>
      <c r="J30" s="128">
        <f t="shared" si="14"/>
        <v>789.61050000000012</v>
      </c>
      <c r="K30" s="128">
        <f t="shared" si="4"/>
        <v>2042.9605000000001</v>
      </c>
      <c r="L30" s="129">
        <f t="shared" si="15"/>
        <v>897.59249999999952</v>
      </c>
      <c r="M30" s="129">
        <f t="shared" si="5"/>
        <v>2322.3424999999997</v>
      </c>
      <c r="N30" s="128">
        <f t="shared" si="16"/>
        <v>1064.2338000000004</v>
      </c>
      <c r="O30" s="128">
        <f t="shared" si="6"/>
        <v>2753.4938000000002</v>
      </c>
      <c r="P30" s="129">
        <f t="shared" si="17"/>
        <v>1106.8155000000002</v>
      </c>
      <c r="Q30" s="129">
        <f t="shared" si="7"/>
        <v>2863.6655000000001</v>
      </c>
      <c r="R30" s="129">
        <f t="shared" si="18"/>
        <v>1276.8777</v>
      </c>
      <c r="S30" s="129">
        <f t="shared" si="8"/>
        <v>3303.6677</v>
      </c>
      <c r="T30" s="128">
        <f t="shared" si="19"/>
        <v>1566.7974000000006</v>
      </c>
      <c r="U30" s="128">
        <f t="shared" si="9"/>
        <v>4053.7774000000009</v>
      </c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1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  <c r="GH30" s="131"/>
      <c r="GI30" s="131"/>
      <c r="GJ30" s="131"/>
      <c r="GK30" s="131"/>
      <c r="GL30" s="131"/>
      <c r="GM30" s="131"/>
      <c r="GN30" s="131"/>
      <c r="GO30" s="131"/>
      <c r="GP30" s="131"/>
      <c r="GQ30" s="131"/>
      <c r="GR30" s="131"/>
      <c r="GS30" s="131"/>
      <c r="GT30" s="131"/>
      <c r="GU30" s="131"/>
      <c r="GV30" s="131"/>
      <c r="GW30" s="131"/>
      <c r="GX30" s="131"/>
      <c r="GY30" s="131"/>
      <c r="GZ30" s="131"/>
      <c r="HA30" s="131"/>
      <c r="HB30" s="131"/>
      <c r="HC30" s="131"/>
      <c r="HD30" s="131"/>
      <c r="HE30" s="131"/>
      <c r="HF30" s="131"/>
      <c r="HG30" s="131"/>
      <c r="HH30" s="131"/>
      <c r="HI30" s="131"/>
      <c r="HJ30" s="131"/>
      <c r="HK30" s="131"/>
      <c r="HL30" s="131"/>
      <c r="HM30" s="131"/>
      <c r="HN30" s="131"/>
      <c r="HO30" s="131"/>
      <c r="HP30" s="131"/>
      <c r="HQ30" s="131"/>
      <c r="HR30" s="131"/>
      <c r="HS30" s="131"/>
      <c r="HT30" s="131"/>
      <c r="HU30" s="131"/>
      <c r="HV30" s="131"/>
      <c r="HW30" s="131"/>
      <c r="HX30" s="131"/>
      <c r="HY30" s="131"/>
      <c r="HZ30" s="131"/>
      <c r="IA30" s="131"/>
      <c r="IB30" s="131"/>
      <c r="IC30" s="131"/>
      <c r="ID30" s="131"/>
      <c r="IE30" s="131"/>
      <c r="IF30" s="131"/>
      <c r="IG30" s="131"/>
      <c r="IH30" s="131"/>
      <c r="II30" s="131"/>
      <c r="IJ30" s="131"/>
      <c r="IK30" s="131"/>
      <c r="IL30" s="131"/>
      <c r="IM30" s="131"/>
      <c r="IN30" s="131"/>
      <c r="IO30" s="131"/>
      <c r="IP30" s="131"/>
      <c r="IQ30" s="131"/>
      <c r="IR30" s="131"/>
      <c r="IS30" s="131"/>
      <c r="IT30" s="131"/>
      <c r="IU30" s="131"/>
      <c r="IV30" s="131"/>
    </row>
    <row r="31" spans="1:256" ht="15.75" customHeight="1" x14ac:dyDescent="0.2">
      <c r="A31" s="127" t="s">
        <v>78</v>
      </c>
      <c r="B31" s="128">
        <f t="shared" si="10"/>
        <v>501.96300000000014</v>
      </c>
      <c r="C31" s="128">
        <f t="shared" si="0"/>
        <v>1262.5130000000001</v>
      </c>
      <c r="D31" s="129">
        <f t="shared" si="11"/>
        <v>618.2088</v>
      </c>
      <c r="E31" s="129">
        <f t="shared" si="1"/>
        <v>1554.8887999999999</v>
      </c>
      <c r="F31" s="128">
        <f t="shared" si="12"/>
        <v>676.07760000000007</v>
      </c>
      <c r="G31" s="128">
        <f t="shared" si="2"/>
        <v>1700.4376</v>
      </c>
      <c r="H31" s="129">
        <f t="shared" si="13"/>
        <v>735.0948000000003</v>
      </c>
      <c r="I31" s="129">
        <f t="shared" si="3"/>
        <v>1848.8748000000003</v>
      </c>
      <c r="J31" s="128">
        <f t="shared" si="14"/>
        <v>827.21100000000013</v>
      </c>
      <c r="K31" s="128">
        <f t="shared" si="4"/>
        <v>2080.5610000000001</v>
      </c>
      <c r="L31" s="129">
        <f t="shared" si="15"/>
        <v>940.33499999999947</v>
      </c>
      <c r="M31" s="129">
        <f t="shared" si="5"/>
        <v>2365.0849999999996</v>
      </c>
      <c r="N31" s="128">
        <f t="shared" si="16"/>
        <v>1114.9116000000004</v>
      </c>
      <c r="O31" s="128">
        <f t="shared" si="6"/>
        <v>2804.1716000000006</v>
      </c>
      <c r="P31" s="129">
        <f t="shared" si="17"/>
        <v>1159.5210000000002</v>
      </c>
      <c r="Q31" s="129">
        <f t="shared" si="7"/>
        <v>2916.3710000000001</v>
      </c>
      <c r="R31" s="129">
        <f t="shared" si="18"/>
        <v>1337.6813999999999</v>
      </c>
      <c r="S31" s="129">
        <f t="shared" si="8"/>
        <v>3364.4713999999999</v>
      </c>
      <c r="T31" s="128">
        <f t="shared" si="19"/>
        <v>1641.4068000000007</v>
      </c>
      <c r="U31" s="128">
        <f t="shared" si="9"/>
        <v>4128.3868000000002</v>
      </c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  <c r="GH31" s="131"/>
      <c r="GI31" s="131"/>
      <c r="GJ31" s="131"/>
      <c r="GK31" s="131"/>
      <c r="GL31" s="131"/>
      <c r="GM31" s="131"/>
      <c r="GN31" s="131"/>
      <c r="GO31" s="131"/>
      <c r="GP31" s="131"/>
      <c r="GQ31" s="131"/>
      <c r="GR31" s="131"/>
      <c r="GS31" s="131"/>
      <c r="GT31" s="131"/>
      <c r="GU31" s="131"/>
      <c r="GV31" s="131"/>
      <c r="GW31" s="131"/>
      <c r="GX31" s="131"/>
      <c r="GY31" s="131"/>
      <c r="GZ31" s="131"/>
      <c r="HA31" s="131"/>
      <c r="HB31" s="131"/>
      <c r="HC31" s="131"/>
      <c r="HD31" s="131"/>
      <c r="HE31" s="131"/>
      <c r="HF31" s="131"/>
      <c r="HG31" s="131"/>
      <c r="HH31" s="131"/>
      <c r="HI31" s="131"/>
      <c r="HJ31" s="131"/>
      <c r="HK31" s="131"/>
      <c r="HL31" s="131"/>
      <c r="HM31" s="131"/>
      <c r="HN31" s="131"/>
      <c r="HO31" s="131"/>
      <c r="HP31" s="131"/>
      <c r="HQ31" s="131"/>
      <c r="HR31" s="131"/>
      <c r="HS31" s="131"/>
      <c r="HT31" s="131"/>
      <c r="HU31" s="131"/>
      <c r="HV31" s="131"/>
      <c r="HW31" s="131"/>
      <c r="HX31" s="131"/>
      <c r="HY31" s="131"/>
      <c r="HZ31" s="131"/>
      <c r="IA31" s="131"/>
      <c r="IB31" s="131"/>
      <c r="IC31" s="131"/>
      <c r="ID31" s="131"/>
      <c r="IE31" s="131"/>
      <c r="IF31" s="131"/>
      <c r="IG31" s="131"/>
      <c r="IH31" s="131"/>
      <c r="II31" s="131"/>
      <c r="IJ31" s="131"/>
      <c r="IK31" s="131"/>
      <c r="IL31" s="131"/>
      <c r="IM31" s="131"/>
      <c r="IN31" s="131"/>
      <c r="IO31" s="131"/>
      <c r="IP31" s="131"/>
      <c r="IQ31" s="131"/>
      <c r="IR31" s="131"/>
      <c r="IS31" s="131"/>
      <c r="IT31" s="131"/>
      <c r="IU31" s="131"/>
      <c r="IV31" s="131"/>
    </row>
    <row r="32" spans="1:256" ht="15.75" customHeight="1" x14ac:dyDescent="0.2">
      <c r="A32" s="127" t="s">
        <v>79</v>
      </c>
      <c r="B32" s="128">
        <f t="shared" si="10"/>
        <v>524.7795000000001</v>
      </c>
      <c r="C32" s="128">
        <f t="shared" si="0"/>
        <v>1285.3295000000001</v>
      </c>
      <c r="D32" s="129">
        <f t="shared" si="11"/>
        <v>646.30920000000003</v>
      </c>
      <c r="E32" s="129">
        <f t="shared" si="1"/>
        <v>1582.9892</v>
      </c>
      <c r="F32" s="128">
        <f t="shared" si="12"/>
        <v>706.80840000000012</v>
      </c>
      <c r="G32" s="128">
        <f t="shared" si="2"/>
        <v>1731.1684</v>
      </c>
      <c r="H32" s="129">
        <f t="shared" si="13"/>
        <v>768.50820000000033</v>
      </c>
      <c r="I32" s="129">
        <f t="shared" si="3"/>
        <v>1882.2882000000004</v>
      </c>
      <c r="J32" s="128">
        <f t="shared" si="14"/>
        <v>864.81150000000014</v>
      </c>
      <c r="K32" s="128">
        <f t="shared" si="4"/>
        <v>2118.1615000000002</v>
      </c>
      <c r="L32" s="129">
        <f t="shared" si="15"/>
        <v>983.07749999999942</v>
      </c>
      <c r="M32" s="129">
        <f t="shared" si="5"/>
        <v>2407.8274999999994</v>
      </c>
      <c r="N32" s="128">
        <f t="shared" si="16"/>
        <v>1165.5894000000003</v>
      </c>
      <c r="O32" s="128">
        <f t="shared" si="6"/>
        <v>2854.8494000000001</v>
      </c>
      <c r="P32" s="129">
        <f t="shared" si="17"/>
        <v>1212.2265000000002</v>
      </c>
      <c r="Q32" s="129">
        <f t="shared" si="7"/>
        <v>2969.0765000000001</v>
      </c>
      <c r="R32" s="129">
        <f t="shared" si="18"/>
        <v>1398.4850999999999</v>
      </c>
      <c r="S32" s="129">
        <f t="shared" si="8"/>
        <v>3425.2750999999998</v>
      </c>
      <c r="T32" s="128">
        <f t="shared" si="19"/>
        <v>1716.0162000000007</v>
      </c>
      <c r="U32" s="128">
        <f t="shared" si="9"/>
        <v>4202.9962000000005</v>
      </c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31"/>
      <c r="FY32" s="131"/>
      <c r="FZ32" s="131"/>
      <c r="GA32" s="131"/>
      <c r="GB32" s="131"/>
      <c r="GC32" s="131"/>
      <c r="GD32" s="131"/>
      <c r="GE32" s="131"/>
      <c r="GF32" s="131"/>
      <c r="GG32" s="131"/>
      <c r="GH32" s="131"/>
      <c r="GI32" s="131"/>
      <c r="GJ32" s="131"/>
      <c r="GK32" s="131"/>
      <c r="GL32" s="131"/>
      <c r="GM32" s="131"/>
      <c r="GN32" s="131"/>
      <c r="GO32" s="131"/>
      <c r="GP32" s="131"/>
      <c r="GQ32" s="131"/>
      <c r="GR32" s="131"/>
      <c r="GS32" s="131"/>
      <c r="GT32" s="131"/>
      <c r="GU32" s="131"/>
      <c r="GV32" s="131"/>
      <c r="GW32" s="131"/>
      <c r="GX32" s="131"/>
      <c r="GY32" s="131"/>
      <c r="GZ32" s="131"/>
      <c r="HA32" s="131"/>
      <c r="HB32" s="131"/>
      <c r="HC32" s="131"/>
      <c r="HD32" s="131"/>
      <c r="HE32" s="131"/>
      <c r="HF32" s="131"/>
      <c r="HG32" s="131"/>
      <c r="HH32" s="131"/>
      <c r="HI32" s="131"/>
      <c r="HJ32" s="131"/>
      <c r="HK32" s="131"/>
      <c r="HL32" s="131"/>
      <c r="HM32" s="131"/>
      <c r="HN32" s="131"/>
      <c r="HO32" s="131"/>
      <c r="HP32" s="131"/>
      <c r="HQ32" s="131"/>
      <c r="HR32" s="131"/>
      <c r="HS32" s="131"/>
      <c r="HT32" s="131"/>
      <c r="HU32" s="131"/>
      <c r="HV32" s="131"/>
      <c r="HW32" s="131"/>
      <c r="HX32" s="131"/>
      <c r="HY32" s="131"/>
      <c r="HZ32" s="131"/>
      <c r="IA32" s="131"/>
      <c r="IB32" s="131"/>
      <c r="IC32" s="131"/>
      <c r="ID32" s="131"/>
      <c r="IE32" s="131"/>
      <c r="IF32" s="131"/>
      <c r="IG32" s="131"/>
      <c r="IH32" s="131"/>
      <c r="II32" s="131"/>
      <c r="IJ32" s="131"/>
      <c r="IK32" s="131"/>
      <c r="IL32" s="131"/>
      <c r="IM32" s="131"/>
      <c r="IN32" s="131"/>
      <c r="IO32" s="131"/>
      <c r="IP32" s="131"/>
      <c r="IQ32" s="131"/>
      <c r="IR32" s="131"/>
      <c r="IS32" s="131"/>
      <c r="IT32" s="131"/>
      <c r="IU32" s="131"/>
      <c r="IV32" s="131"/>
    </row>
    <row r="33" spans="1:256" ht="15.75" customHeight="1" x14ac:dyDescent="0.2">
      <c r="A33" s="127" t="s">
        <v>80</v>
      </c>
      <c r="B33" s="128">
        <f t="shared" si="10"/>
        <v>547.59600000000012</v>
      </c>
      <c r="C33" s="128">
        <f t="shared" si="0"/>
        <v>1308.1460000000002</v>
      </c>
      <c r="D33" s="129">
        <f t="shared" si="11"/>
        <v>674.40960000000007</v>
      </c>
      <c r="E33" s="129">
        <f t="shared" si="1"/>
        <v>1611.0896</v>
      </c>
      <c r="F33" s="128">
        <f t="shared" si="12"/>
        <v>737.53920000000016</v>
      </c>
      <c r="G33" s="128">
        <f t="shared" si="2"/>
        <v>1761.8992000000001</v>
      </c>
      <c r="H33" s="129">
        <f t="shared" si="13"/>
        <v>801.92160000000035</v>
      </c>
      <c r="I33" s="129">
        <f t="shared" si="3"/>
        <v>1915.7016000000003</v>
      </c>
      <c r="J33" s="128">
        <f t="shared" si="14"/>
        <v>902.41200000000015</v>
      </c>
      <c r="K33" s="128">
        <f t="shared" si="4"/>
        <v>2155.7620000000002</v>
      </c>
      <c r="L33" s="129">
        <f t="shared" si="15"/>
        <v>1025.8199999999995</v>
      </c>
      <c r="M33" s="129">
        <f t="shared" si="5"/>
        <v>2450.5699999999997</v>
      </c>
      <c r="N33" s="128">
        <f t="shared" si="16"/>
        <v>1216.2672000000002</v>
      </c>
      <c r="O33" s="128">
        <f t="shared" si="6"/>
        <v>2905.5272000000004</v>
      </c>
      <c r="P33" s="129">
        <f t="shared" si="17"/>
        <v>1264.9320000000002</v>
      </c>
      <c r="Q33" s="129">
        <f t="shared" si="7"/>
        <v>3021.7820000000002</v>
      </c>
      <c r="R33" s="129">
        <f t="shared" si="18"/>
        <v>1459.2887999999998</v>
      </c>
      <c r="S33" s="129">
        <f t="shared" si="8"/>
        <v>3486.0787999999998</v>
      </c>
      <c r="T33" s="128">
        <f t="shared" si="19"/>
        <v>1790.6256000000008</v>
      </c>
      <c r="U33" s="128">
        <f t="shared" si="9"/>
        <v>4277.6056000000008</v>
      </c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1"/>
      <c r="GM33" s="131"/>
      <c r="GN33" s="131"/>
      <c r="GO33" s="131"/>
      <c r="GP33" s="131"/>
      <c r="GQ33" s="131"/>
      <c r="GR33" s="131"/>
      <c r="GS33" s="131"/>
      <c r="GT33" s="131"/>
      <c r="GU33" s="131"/>
      <c r="GV33" s="131"/>
      <c r="GW33" s="131"/>
      <c r="GX33" s="131"/>
      <c r="GY33" s="131"/>
      <c r="GZ33" s="131"/>
      <c r="HA33" s="131"/>
      <c r="HB33" s="131"/>
      <c r="HC33" s="131"/>
      <c r="HD33" s="131"/>
      <c r="HE33" s="131"/>
      <c r="HF33" s="131"/>
      <c r="HG33" s="131"/>
      <c r="HH33" s="131"/>
      <c r="HI33" s="131"/>
      <c r="HJ33" s="131"/>
      <c r="HK33" s="131"/>
      <c r="HL33" s="131"/>
      <c r="HM33" s="131"/>
      <c r="HN33" s="131"/>
      <c r="HO33" s="131"/>
      <c r="HP33" s="131"/>
      <c r="HQ33" s="131"/>
      <c r="HR33" s="131"/>
      <c r="HS33" s="131"/>
      <c r="HT33" s="131"/>
      <c r="HU33" s="131"/>
      <c r="HV33" s="131"/>
      <c r="HW33" s="131"/>
      <c r="HX33" s="131"/>
      <c r="HY33" s="131"/>
      <c r="HZ33" s="131"/>
      <c r="IA33" s="131"/>
      <c r="IB33" s="131"/>
      <c r="IC33" s="131"/>
      <c r="ID33" s="131"/>
      <c r="IE33" s="131"/>
      <c r="IF33" s="131"/>
      <c r="IG33" s="131"/>
      <c r="IH33" s="131"/>
      <c r="II33" s="131"/>
      <c r="IJ33" s="131"/>
      <c r="IK33" s="131"/>
      <c r="IL33" s="131"/>
      <c r="IM33" s="131"/>
      <c r="IN33" s="131"/>
      <c r="IO33" s="131"/>
      <c r="IP33" s="131"/>
      <c r="IQ33" s="131"/>
      <c r="IR33" s="131"/>
      <c r="IS33" s="131"/>
      <c r="IT33" s="131"/>
      <c r="IU33" s="131"/>
      <c r="IV33" s="131"/>
    </row>
    <row r="34" spans="1:256" ht="15.75" customHeight="1" x14ac:dyDescent="0.2">
      <c r="A34" s="127" t="s">
        <v>81</v>
      </c>
      <c r="B34" s="128">
        <f t="shared" si="10"/>
        <v>570.41250000000014</v>
      </c>
      <c r="C34" s="128">
        <f t="shared" si="0"/>
        <v>1330.9625000000001</v>
      </c>
      <c r="D34" s="129">
        <f t="shared" si="11"/>
        <v>702.5100000000001</v>
      </c>
      <c r="E34" s="129">
        <f t="shared" si="1"/>
        <v>1639.19</v>
      </c>
      <c r="F34" s="128">
        <f t="shared" si="12"/>
        <v>768.27000000000021</v>
      </c>
      <c r="G34" s="128">
        <f t="shared" si="2"/>
        <v>1792.63</v>
      </c>
      <c r="H34" s="129">
        <f t="shared" si="13"/>
        <v>835.33500000000038</v>
      </c>
      <c r="I34" s="129">
        <f t="shared" si="3"/>
        <v>1949.1150000000002</v>
      </c>
      <c r="J34" s="128">
        <f t="shared" si="14"/>
        <v>940.01250000000016</v>
      </c>
      <c r="K34" s="128">
        <f t="shared" si="4"/>
        <v>2193.3625000000002</v>
      </c>
      <c r="L34" s="129">
        <f t="shared" si="15"/>
        <v>1068.5624999999995</v>
      </c>
      <c r="M34" s="129">
        <f t="shared" si="5"/>
        <v>2493.3124999999995</v>
      </c>
      <c r="N34" s="128">
        <f t="shared" si="16"/>
        <v>1266.9450000000002</v>
      </c>
      <c r="O34" s="128">
        <f t="shared" si="6"/>
        <v>2956.2049999999999</v>
      </c>
      <c r="P34" s="129">
        <f t="shared" si="17"/>
        <v>1317.6375000000003</v>
      </c>
      <c r="Q34" s="129">
        <f t="shared" si="7"/>
        <v>3074.4875000000002</v>
      </c>
      <c r="R34" s="129">
        <f t="shared" si="18"/>
        <v>1520.0924999999997</v>
      </c>
      <c r="S34" s="129">
        <f t="shared" si="8"/>
        <v>3546.8824999999997</v>
      </c>
      <c r="T34" s="128">
        <f t="shared" si="19"/>
        <v>1865.2350000000008</v>
      </c>
      <c r="U34" s="128">
        <f t="shared" si="9"/>
        <v>4352.2150000000011</v>
      </c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1"/>
      <c r="IP34" s="131"/>
      <c r="IQ34" s="131"/>
      <c r="IR34" s="131"/>
      <c r="IS34" s="131"/>
      <c r="IT34" s="131"/>
      <c r="IU34" s="131"/>
      <c r="IV34" s="131"/>
    </row>
  </sheetData>
  <pageMargins left="0.59027777777777801" right="0.59027777777777801" top="0.40277777777777801" bottom="0.40277777777777801" header="0.165277777777778" footer="0.165277777777778"/>
  <pageSetup paperSize="0" scale="0" firstPageNumber="0" orientation="portrait" usePrinterDefaults="0" horizontalDpi="0" verticalDpi="0" copies="0"/>
  <headerFooter>
    <oddHeader>&amp;C&amp;A</oddHeader>
    <oddFooter>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zoomScaleNormal="100" workbookViewId="0">
      <selection activeCell="G39" sqref="G39"/>
    </sheetView>
  </sheetViews>
  <sheetFormatPr baseColWidth="10" defaultColWidth="9.140625" defaultRowHeight="12.75" x14ac:dyDescent="0.2"/>
  <cols>
    <col min="1" max="1" width="23.5703125"/>
    <col min="2" max="11" width="11.140625"/>
    <col min="12" max="12" width="4.5703125"/>
    <col min="13" max="256" width="11.28515625"/>
    <col min="257" max="1025" width="11.5703125"/>
  </cols>
  <sheetData>
    <row r="1" spans="1:256" ht="15" customHeight="1" x14ac:dyDescent="0.2">
      <c r="A1" s="22"/>
      <c r="B1" s="37"/>
      <c r="C1" s="38"/>
      <c r="D1" s="37"/>
      <c r="E1" s="38"/>
      <c r="F1" s="37"/>
      <c r="G1" s="38"/>
      <c r="H1" s="37"/>
      <c r="I1" s="38"/>
      <c r="J1" s="37"/>
      <c r="K1" s="37"/>
      <c r="L1" s="4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</row>
    <row r="2" spans="1:256" ht="15" customHeight="1" x14ac:dyDescent="0.25">
      <c r="A2" s="39"/>
      <c r="B2" s="9" t="s">
        <v>44</v>
      </c>
      <c r="C2" s="40" t="s">
        <v>45</v>
      </c>
      <c r="D2" s="9" t="s">
        <v>46</v>
      </c>
      <c r="E2" s="40" t="s">
        <v>47</v>
      </c>
      <c r="F2" s="9" t="s">
        <v>48</v>
      </c>
      <c r="G2" s="40" t="s">
        <v>49</v>
      </c>
      <c r="H2" s="9" t="s">
        <v>50</v>
      </c>
      <c r="I2" s="40" t="s">
        <v>51</v>
      </c>
      <c r="J2" s="9" t="s">
        <v>52</v>
      </c>
      <c r="K2" s="29" t="s">
        <v>9</v>
      </c>
      <c r="L2" s="1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" customHeight="1" x14ac:dyDescent="0.2">
      <c r="A3" s="13" t="s">
        <v>10</v>
      </c>
      <c r="B3" s="14"/>
      <c r="C3" s="15"/>
      <c r="D3" s="14"/>
      <c r="E3" s="15"/>
      <c r="F3" s="14"/>
      <c r="G3" s="15"/>
      <c r="H3" s="14"/>
      <c r="I3" s="15"/>
      <c r="J3" s="14"/>
      <c r="K3" s="31"/>
      <c r="L3" s="16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15" customHeight="1" x14ac:dyDescent="0.25">
      <c r="A4" s="18" t="s">
        <v>11</v>
      </c>
      <c r="B4" s="19">
        <v>755000</v>
      </c>
      <c r="C4" s="20">
        <v>929000</v>
      </c>
      <c r="D4" s="19">
        <v>1083000</v>
      </c>
      <c r="E4" s="20">
        <v>1090000</v>
      </c>
      <c r="F4" s="19">
        <v>1227000</v>
      </c>
      <c r="G4" s="20">
        <v>1369000</v>
      </c>
      <c r="H4" s="19">
        <v>1624000</v>
      </c>
      <c r="I4" s="20">
        <v>1984000</v>
      </c>
      <c r="J4" s="19">
        <v>2370000</v>
      </c>
      <c r="K4" s="41">
        <v>2935506</v>
      </c>
      <c r="L4" s="21" t="s">
        <v>12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15" customHeight="1" x14ac:dyDescent="0.2">
      <c r="A5" s="23" t="s">
        <v>53</v>
      </c>
      <c r="B5" s="24">
        <f t="shared" ref="B5:K5" si="0">(B4*0.06*1)+B4</f>
        <v>800300</v>
      </c>
      <c r="C5" s="25">
        <f t="shared" si="0"/>
        <v>984740</v>
      </c>
      <c r="D5" s="24">
        <f t="shared" si="0"/>
        <v>1147980</v>
      </c>
      <c r="E5" s="25">
        <f t="shared" si="0"/>
        <v>1155400</v>
      </c>
      <c r="F5" s="24">
        <f t="shared" si="0"/>
        <v>1300620</v>
      </c>
      <c r="G5" s="25">
        <f t="shared" si="0"/>
        <v>1451140</v>
      </c>
      <c r="H5" s="24">
        <f t="shared" si="0"/>
        <v>1721440</v>
      </c>
      <c r="I5" s="25">
        <f t="shared" si="0"/>
        <v>2103040</v>
      </c>
      <c r="J5" s="24">
        <f t="shared" si="0"/>
        <v>2512200</v>
      </c>
      <c r="K5" s="42">
        <f t="shared" si="0"/>
        <v>3111636.36</v>
      </c>
      <c r="L5" s="26" t="s">
        <v>13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15" customHeight="1" x14ac:dyDescent="0.2">
      <c r="A6" s="23" t="s">
        <v>54</v>
      </c>
      <c r="B6" s="24">
        <f t="shared" ref="B6:K6" si="1">(B4*0.06*2)+B4</f>
        <v>845600</v>
      </c>
      <c r="C6" s="25">
        <f t="shared" si="1"/>
        <v>1040480</v>
      </c>
      <c r="D6" s="24">
        <f t="shared" si="1"/>
        <v>1212960</v>
      </c>
      <c r="E6" s="25">
        <f t="shared" si="1"/>
        <v>1220800</v>
      </c>
      <c r="F6" s="24">
        <f t="shared" si="1"/>
        <v>1374240</v>
      </c>
      <c r="G6" s="25">
        <f t="shared" si="1"/>
        <v>1533280</v>
      </c>
      <c r="H6" s="24">
        <f t="shared" si="1"/>
        <v>1818880</v>
      </c>
      <c r="I6" s="25">
        <f t="shared" si="1"/>
        <v>2222080</v>
      </c>
      <c r="J6" s="24">
        <f t="shared" si="1"/>
        <v>2654400</v>
      </c>
      <c r="K6" s="42">
        <f t="shared" si="1"/>
        <v>3287766.7199999997</v>
      </c>
      <c r="L6" s="27" t="s">
        <v>14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15" customHeight="1" x14ac:dyDescent="0.2">
      <c r="A7" s="23" t="s">
        <v>55</v>
      </c>
      <c r="B7" s="24">
        <f t="shared" ref="B7:K7" si="2">(B4*0.06*3)+B4</f>
        <v>890900</v>
      </c>
      <c r="C7" s="25">
        <f t="shared" si="2"/>
        <v>1096220</v>
      </c>
      <c r="D7" s="24">
        <f t="shared" si="2"/>
        <v>1277940</v>
      </c>
      <c r="E7" s="25">
        <f t="shared" si="2"/>
        <v>1286200</v>
      </c>
      <c r="F7" s="24">
        <f t="shared" si="2"/>
        <v>1447860</v>
      </c>
      <c r="G7" s="25">
        <f t="shared" si="2"/>
        <v>1615420</v>
      </c>
      <c r="H7" s="24">
        <f t="shared" si="2"/>
        <v>1916320</v>
      </c>
      <c r="I7" s="25">
        <f t="shared" si="2"/>
        <v>2341120</v>
      </c>
      <c r="J7" s="24">
        <f t="shared" si="2"/>
        <v>2796600</v>
      </c>
      <c r="K7" s="42">
        <f t="shared" si="2"/>
        <v>3463897.08</v>
      </c>
      <c r="L7" s="26" t="s">
        <v>15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ht="15" customHeight="1" x14ac:dyDescent="0.2">
      <c r="A8" s="22"/>
      <c r="B8" s="37"/>
      <c r="C8" s="38"/>
      <c r="D8" s="37"/>
      <c r="E8" s="38"/>
      <c r="F8" s="37"/>
      <c r="G8" s="38"/>
      <c r="H8" s="37"/>
      <c r="I8" s="38"/>
      <c r="J8" s="37"/>
      <c r="K8" s="43"/>
      <c r="L8" s="4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ht="15" customHeight="1" x14ac:dyDescent="0.2">
      <c r="A9" s="12" t="s">
        <v>56</v>
      </c>
      <c r="B9" s="44"/>
      <c r="C9" s="45"/>
      <c r="D9" s="44"/>
      <c r="E9" s="45"/>
      <c r="F9" s="44"/>
      <c r="G9" s="45"/>
      <c r="H9" s="44"/>
      <c r="I9" s="45"/>
      <c r="J9" s="44"/>
      <c r="K9" s="46"/>
      <c r="L9" s="16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spans="1:256" ht="15" customHeight="1" x14ac:dyDescent="0.25">
      <c r="A10" s="18" t="s">
        <v>11</v>
      </c>
      <c r="B10" s="19">
        <v>966000</v>
      </c>
      <c r="C10" s="20">
        <v>1190000</v>
      </c>
      <c r="D10" s="19">
        <v>1406000</v>
      </c>
      <c r="E10" s="20">
        <v>1415000</v>
      </c>
      <c r="F10" s="19">
        <v>1592000</v>
      </c>
      <c r="G10" s="20">
        <v>1810000</v>
      </c>
      <c r="H10" s="19">
        <v>2146000</v>
      </c>
      <c r="I10" s="20">
        <v>2575000</v>
      </c>
      <c r="J10" s="19">
        <v>3160000</v>
      </c>
      <c r="K10" s="41">
        <v>3640027</v>
      </c>
      <c r="L10" s="26" t="s">
        <v>16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ht="15" customHeight="1" x14ac:dyDescent="0.2">
      <c r="A11" s="23" t="s">
        <v>57</v>
      </c>
      <c r="B11" s="24">
        <f t="shared" ref="B11:J11" si="3">(B10*0.03*1)+B10</f>
        <v>994980</v>
      </c>
      <c r="C11" s="25">
        <f t="shared" si="3"/>
        <v>1225700</v>
      </c>
      <c r="D11" s="24">
        <f t="shared" si="3"/>
        <v>1448180</v>
      </c>
      <c r="E11" s="25">
        <f t="shared" si="3"/>
        <v>1457450</v>
      </c>
      <c r="F11" s="24">
        <f t="shared" si="3"/>
        <v>1639760</v>
      </c>
      <c r="G11" s="25">
        <f t="shared" si="3"/>
        <v>1864300</v>
      </c>
      <c r="H11" s="24">
        <f t="shared" si="3"/>
        <v>2210380</v>
      </c>
      <c r="I11" s="25">
        <f t="shared" si="3"/>
        <v>2652250</v>
      </c>
      <c r="J11" s="24">
        <f t="shared" si="3"/>
        <v>3254800</v>
      </c>
      <c r="K11" s="42">
        <v>3816158</v>
      </c>
      <c r="L11" s="26" t="s">
        <v>17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" customHeight="1" x14ac:dyDescent="0.2">
      <c r="A12" s="23" t="s">
        <v>58</v>
      </c>
      <c r="B12" s="24">
        <f t="shared" ref="B12:J12" si="4">(B10*0.03*2)+B10</f>
        <v>1023960</v>
      </c>
      <c r="C12" s="25">
        <f t="shared" si="4"/>
        <v>1261400</v>
      </c>
      <c r="D12" s="24">
        <f t="shared" si="4"/>
        <v>1490360</v>
      </c>
      <c r="E12" s="25">
        <f t="shared" si="4"/>
        <v>1499900</v>
      </c>
      <c r="F12" s="24">
        <f t="shared" si="4"/>
        <v>1687520</v>
      </c>
      <c r="G12" s="25">
        <f t="shared" si="4"/>
        <v>1918600</v>
      </c>
      <c r="H12" s="24">
        <f t="shared" si="4"/>
        <v>2274760</v>
      </c>
      <c r="I12" s="25">
        <f t="shared" si="4"/>
        <v>2729500</v>
      </c>
      <c r="J12" s="24">
        <f t="shared" si="4"/>
        <v>3349600</v>
      </c>
      <c r="K12" s="42">
        <v>3992288</v>
      </c>
      <c r="L12" s="26" t="s">
        <v>18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ht="15" customHeight="1" x14ac:dyDescent="0.2">
      <c r="A13" s="23" t="s">
        <v>59</v>
      </c>
      <c r="B13" s="24">
        <f t="shared" ref="B13:J13" si="5">(B10*0.03*3)+B10</f>
        <v>1052940</v>
      </c>
      <c r="C13" s="25">
        <f t="shared" si="5"/>
        <v>1297100</v>
      </c>
      <c r="D13" s="24">
        <f t="shared" si="5"/>
        <v>1532540</v>
      </c>
      <c r="E13" s="25">
        <f t="shared" si="5"/>
        <v>1542350</v>
      </c>
      <c r="F13" s="24">
        <f t="shared" si="5"/>
        <v>1735280</v>
      </c>
      <c r="G13" s="25">
        <f t="shared" si="5"/>
        <v>1972900</v>
      </c>
      <c r="H13" s="24">
        <f t="shared" si="5"/>
        <v>2339140</v>
      </c>
      <c r="I13" s="25">
        <f t="shared" si="5"/>
        <v>2806750</v>
      </c>
      <c r="J13" s="24">
        <f t="shared" si="5"/>
        <v>3444400</v>
      </c>
      <c r="K13" s="42">
        <v>4168419</v>
      </c>
      <c r="L13" s="26" t="s">
        <v>19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15" customHeight="1" x14ac:dyDescent="0.2">
      <c r="A14" s="23" t="s">
        <v>60</v>
      </c>
      <c r="B14" s="24">
        <f t="shared" ref="B14:J14" si="6">(B10*0.03*4)+B10</f>
        <v>1081920</v>
      </c>
      <c r="C14" s="25">
        <f t="shared" si="6"/>
        <v>1332800</v>
      </c>
      <c r="D14" s="24">
        <f t="shared" si="6"/>
        <v>1574720</v>
      </c>
      <c r="E14" s="25">
        <f t="shared" si="6"/>
        <v>1584800</v>
      </c>
      <c r="F14" s="24">
        <f t="shared" si="6"/>
        <v>1783040</v>
      </c>
      <c r="G14" s="25">
        <f t="shared" si="6"/>
        <v>2027200</v>
      </c>
      <c r="H14" s="24">
        <f t="shared" si="6"/>
        <v>2403520</v>
      </c>
      <c r="I14" s="25">
        <f t="shared" si="6"/>
        <v>2884000</v>
      </c>
      <c r="J14" s="24">
        <f t="shared" si="6"/>
        <v>3539200</v>
      </c>
      <c r="K14" s="42">
        <v>4344549</v>
      </c>
      <c r="L14" s="26" t="s">
        <v>20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5" customHeight="1" x14ac:dyDescent="0.2">
      <c r="A15" s="23" t="s">
        <v>61</v>
      </c>
      <c r="B15" s="24">
        <f t="shared" ref="B15:J15" si="7">(B10*0.03*5)+B10</f>
        <v>1110900</v>
      </c>
      <c r="C15" s="25">
        <f t="shared" si="7"/>
        <v>1368500</v>
      </c>
      <c r="D15" s="24">
        <f t="shared" si="7"/>
        <v>1616900</v>
      </c>
      <c r="E15" s="25">
        <f t="shared" si="7"/>
        <v>1627250</v>
      </c>
      <c r="F15" s="24">
        <f t="shared" si="7"/>
        <v>1830800</v>
      </c>
      <c r="G15" s="25">
        <f t="shared" si="7"/>
        <v>2081500</v>
      </c>
      <c r="H15" s="24">
        <f t="shared" si="7"/>
        <v>2467900</v>
      </c>
      <c r="I15" s="25">
        <f t="shared" si="7"/>
        <v>2961250</v>
      </c>
      <c r="J15" s="24">
        <f t="shared" si="7"/>
        <v>3634000</v>
      </c>
      <c r="K15" s="42">
        <v>4417937</v>
      </c>
      <c r="L15" s="26" t="s">
        <v>21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15" customHeight="1" x14ac:dyDescent="0.2">
      <c r="A16" s="23" t="s">
        <v>62</v>
      </c>
      <c r="B16" s="24">
        <f t="shared" ref="B16:J16" si="8">(B10*0.03*6)+B10</f>
        <v>1139880</v>
      </c>
      <c r="C16" s="25">
        <f t="shared" si="8"/>
        <v>1404200</v>
      </c>
      <c r="D16" s="24">
        <f t="shared" si="8"/>
        <v>1659080</v>
      </c>
      <c r="E16" s="25">
        <f t="shared" si="8"/>
        <v>1669700</v>
      </c>
      <c r="F16" s="24">
        <f t="shared" si="8"/>
        <v>1878560</v>
      </c>
      <c r="G16" s="25">
        <f t="shared" si="8"/>
        <v>2135800</v>
      </c>
      <c r="H16" s="24">
        <f t="shared" si="8"/>
        <v>2532280</v>
      </c>
      <c r="I16" s="25">
        <f t="shared" si="8"/>
        <v>3038500</v>
      </c>
      <c r="J16" s="24">
        <f t="shared" si="8"/>
        <v>3728800</v>
      </c>
      <c r="K16" s="42">
        <v>4491324</v>
      </c>
      <c r="L16" s="26" t="s">
        <v>22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5" customHeight="1" x14ac:dyDescent="0.2">
      <c r="A17" s="23" t="s">
        <v>63</v>
      </c>
      <c r="B17" s="24">
        <f t="shared" ref="B17:J17" si="9">(B10*0.03*7)+B10</f>
        <v>1168860</v>
      </c>
      <c r="C17" s="25">
        <f t="shared" si="9"/>
        <v>1439900</v>
      </c>
      <c r="D17" s="24">
        <f t="shared" si="9"/>
        <v>1701260</v>
      </c>
      <c r="E17" s="25">
        <f t="shared" si="9"/>
        <v>1712150</v>
      </c>
      <c r="F17" s="24">
        <f t="shared" si="9"/>
        <v>1926320</v>
      </c>
      <c r="G17" s="25">
        <f t="shared" si="9"/>
        <v>2190100</v>
      </c>
      <c r="H17" s="24">
        <f t="shared" si="9"/>
        <v>2596660</v>
      </c>
      <c r="I17" s="25">
        <f t="shared" si="9"/>
        <v>3115750</v>
      </c>
      <c r="J17" s="24">
        <f t="shared" si="9"/>
        <v>3823600</v>
      </c>
      <c r="K17" s="42">
        <v>4564712</v>
      </c>
      <c r="L17" s="26" t="s">
        <v>23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5" customHeight="1" x14ac:dyDescent="0.2">
      <c r="A18" s="23" t="s">
        <v>64</v>
      </c>
      <c r="B18" s="24">
        <f t="shared" ref="B18:J18" si="10">(B10*0.03*8)+B10</f>
        <v>1197840</v>
      </c>
      <c r="C18" s="25">
        <f t="shared" si="10"/>
        <v>1475600</v>
      </c>
      <c r="D18" s="24">
        <f t="shared" si="10"/>
        <v>1743440</v>
      </c>
      <c r="E18" s="25">
        <f t="shared" si="10"/>
        <v>1754600</v>
      </c>
      <c r="F18" s="24">
        <f t="shared" si="10"/>
        <v>1974080</v>
      </c>
      <c r="G18" s="25">
        <f t="shared" si="10"/>
        <v>2244400</v>
      </c>
      <c r="H18" s="24">
        <f t="shared" si="10"/>
        <v>2661040</v>
      </c>
      <c r="I18" s="25">
        <f t="shared" si="10"/>
        <v>3193000</v>
      </c>
      <c r="J18" s="24">
        <f t="shared" si="10"/>
        <v>3918400</v>
      </c>
      <c r="K18" s="42">
        <v>4638099</v>
      </c>
      <c r="L18" s="26" t="s">
        <v>24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15" customHeight="1" x14ac:dyDescent="0.2">
      <c r="A19" s="23" t="s">
        <v>65</v>
      </c>
      <c r="B19" s="24">
        <f t="shared" ref="B19:J19" si="11">(B10*0.03*9)+B10</f>
        <v>1226820</v>
      </c>
      <c r="C19" s="25">
        <f t="shared" si="11"/>
        <v>1511300</v>
      </c>
      <c r="D19" s="24">
        <f t="shared" si="11"/>
        <v>1785620</v>
      </c>
      <c r="E19" s="25">
        <f t="shared" si="11"/>
        <v>1797050</v>
      </c>
      <c r="F19" s="24">
        <f t="shared" si="11"/>
        <v>2021840</v>
      </c>
      <c r="G19" s="25">
        <f t="shared" si="11"/>
        <v>2298700</v>
      </c>
      <c r="H19" s="24">
        <f t="shared" si="11"/>
        <v>2725420</v>
      </c>
      <c r="I19" s="25">
        <f t="shared" si="11"/>
        <v>3270250</v>
      </c>
      <c r="J19" s="24">
        <f t="shared" si="11"/>
        <v>4013200</v>
      </c>
      <c r="K19" s="42">
        <v>4711487</v>
      </c>
      <c r="L19" s="26" t="s">
        <v>25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15" customHeight="1" x14ac:dyDescent="0.2">
      <c r="A20" s="23" t="s">
        <v>66</v>
      </c>
      <c r="B20" s="24">
        <f t="shared" ref="B20:J20" si="12">(B10*0.03*10)+B10</f>
        <v>1255800</v>
      </c>
      <c r="C20" s="25">
        <f t="shared" si="12"/>
        <v>1547000</v>
      </c>
      <c r="D20" s="24">
        <f t="shared" si="12"/>
        <v>1827800</v>
      </c>
      <c r="E20" s="25">
        <f t="shared" si="12"/>
        <v>1839500</v>
      </c>
      <c r="F20" s="24">
        <f t="shared" si="12"/>
        <v>2069600</v>
      </c>
      <c r="G20" s="25">
        <f t="shared" si="12"/>
        <v>2353000</v>
      </c>
      <c r="H20" s="24">
        <f t="shared" si="12"/>
        <v>2789800</v>
      </c>
      <c r="I20" s="25">
        <f t="shared" si="12"/>
        <v>3347500</v>
      </c>
      <c r="J20" s="24">
        <f t="shared" si="12"/>
        <v>4108000</v>
      </c>
      <c r="K20" s="42">
        <v>4784875</v>
      </c>
      <c r="L20" s="26" t="s">
        <v>26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15" customHeight="1" x14ac:dyDescent="0.2">
      <c r="A21" s="23" t="s">
        <v>67</v>
      </c>
      <c r="B21" s="24">
        <f t="shared" ref="B21:J21" si="13">(B10*0.03*11)+B10</f>
        <v>1284780</v>
      </c>
      <c r="C21" s="25">
        <f t="shared" si="13"/>
        <v>1582700</v>
      </c>
      <c r="D21" s="24">
        <f t="shared" si="13"/>
        <v>1869980</v>
      </c>
      <c r="E21" s="25">
        <f t="shared" si="13"/>
        <v>1881950</v>
      </c>
      <c r="F21" s="24">
        <f t="shared" si="13"/>
        <v>2117360</v>
      </c>
      <c r="G21" s="25">
        <f t="shared" si="13"/>
        <v>2407300</v>
      </c>
      <c r="H21" s="24">
        <f t="shared" si="13"/>
        <v>2854180</v>
      </c>
      <c r="I21" s="25">
        <f t="shared" si="13"/>
        <v>3424750</v>
      </c>
      <c r="J21" s="24">
        <f t="shared" si="13"/>
        <v>4202800</v>
      </c>
      <c r="K21" s="42">
        <v>4858262</v>
      </c>
      <c r="L21" s="26" t="s">
        <v>27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15" customHeight="1" x14ac:dyDescent="0.2">
      <c r="A22" s="23" t="s">
        <v>68</v>
      </c>
      <c r="B22" s="24">
        <f t="shared" ref="B22:J22" si="14">(B10*0.03*12)+B10</f>
        <v>1313760</v>
      </c>
      <c r="C22" s="25">
        <f t="shared" si="14"/>
        <v>1618400</v>
      </c>
      <c r="D22" s="24">
        <f t="shared" si="14"/>
        <v>1912160</v>
      </c>
      <c r="E22" s="25">
        <f t="shared" si="14"/>
        <v>1924400</v>
      </c>
      <c r="F22" s="24">
        <f t="shared" si="14"/>
        <v>2165120</v>
      </c>
      <c r="G22" s="25">
        <f t="shared" si="14"/>
        <v>2461600</v>
      </c>
      <c r="H22" s="24">
        <f t="shared" si="14"/>
        <v>2918560</v>
      </c>
      <c r="I22" s="25">
        <f t="shared" si="14"/>
        <v>3502000</v>
      </c>
      <c r="J22" s="24">
        <f t="shared" si="14"/>
        <v>4297600</v>
      </c>
      <c r="K22" s="42">
        <v>4931650</v>
      </c>
      <c r="L22" s="26" t="s">
        <v>28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15" customHeight="1" x14ac:dyDescent="0.2">
      <c r="A23" s="23" t="s">
        <v>69</v>
      </c>
      <c r="B23" s="24">
        <f t="shared" ref="B23:J23" si="15">(B10*0.03*13)+B10</f>
        <v>1342740</v>
      </c>
      <c r="C23" s="25">
        <f t="shared" si="15"/>
        <v>1654100</v>
      </c>
      <c r="D23" s="24">
        <f t="shared" si="15"/>
        <v>1954340</v>
      </c>
      <c r="E23" s="25">
        <f t="shared" si="15"/>
        <v>1966850</v>
      </c>
      <c r="F23" s="24">
        <f t="shared" si="15"/>
        <v>2212880</v>
      </c>
      <c r="G23" s="25">
        <f t="shared" si="15"/>
        <v>2515900</v>
      </c>
      <c r="H23" s="24">
        <f t="shared" si="15"/>
        <v>2982940</v>
      </c>
      <c r="I23" s="25">
        <f t="shared" si="15"/>
        <v>3579250</v>
      </c>
      <c r="J23" s="24">
        <f t="shared" si="15"/>
        <v>4392400</v>
      </c>
      <c r="K23" s="42">
        <v>5005038</v>
      </c>
      <c r="L23" s="26" t="s">
        <v>29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15" customHeight="1" x14ac:dyDescent="0.2">
      <c r="A24" s="23" t="s">
        <v>70</v>
      </c>
      <c r="B24" s="24">
        <f t="shared" ref="B24:J24" si="16">(B10*0.03*14)+B10</f>
        <v>1371720</v>
      </c>
      <c r="C24" s="25">
        <f t="shared" si="16"/>
        <v>1689800</v>
      </c>
      <c r="D24" s="24">
        <f t="shared" si="16"/>
        <v>1996520</v>
      </c>
      <c r="E24" s="25">
        <f t="shared" si="16"/>
        <v>2009300</v>
      </c>
      <c r="F24" s="24">
        <f t="shared" si="16"/>
        <v>2260640</v>
      </c>
      <c r="G24" s="25">
        <f t="shared" si="16"/>
        <v>2570200</v>
      </c>
      <c r="H24" s="24">
        <f t="shared" si="16"/>
        <v>3047320</v>
      </c>
      <c r="I24" s="25">
        <f t="shared" si="16"/>
        <v>3656500</v>
      </c>
      <c r="J24" s="24">
        <f t="shared" si="16"/>
        <v>4487200</v>
      </c>
      <c r="K24" s="42">
        <v>5078425</v>
      </c>
      <c r="L24" s="26" t="s">
        <v>30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5" customHeight="1" x14ac:dyDescent="0.2">
      <c r="A25" s="23" t="s">
        <v>71</v>
      </c>
      <c r="B25" s="24">
        <f t="shared" ref="B25:J25" si="17">(B10*0.03*15)+B10</f>
        <v>1400700</v>
      </c>
      <c r="C25" s="25">
        <f t="shared" si="17"/>
        <v>1725500</v>
      </c>
      <c r="D25" s="24">
        <f t="shared" si="17"/>
        <v>2038700</v>
      </c>
      <c r="E25" s="25">
        <f t="shared" si="17"/>
        <v>2051750</v>
      </c>
      <c r="F25" s="24">
        <f t="shared" si="17"/>
        <v>2308400</v>
      </c>
      <c r="G25" s="25">
        <f t="shared" si="17"/>
        <v>2624500</v>
      </c>
      <c r="H25" s="24">
        <f t="shared" si="17"/>
        <v>3111700</v>
      </c>
      <c r="I25" s="25">
        <f t="shared" si="17"/>
        <v>3733750</v>
      </c>
      <c r="J25" s="24">
        <f t="shared" si="17"/>
        <v>4582000</v>
      </c>
      <c r="K25" s="42">
        <v>5151813</v>
      </c>
      <c r="L25" s="26" t="s">
        <v>31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15" customHeight="1" x14ac:dyDescent="0.2">
      <c r="A26" s="23" t="s">
        <v>72</v>
      </c>
      <c r="B26" s="24">
        <f t="shared" ref="B26:J26" si="18">(B10*0.03*16)+B10</f>
        <v>1429680</v>
      </c>
      <c r="C26" s="25">
        <f t="shared" si="18"/>
        <v>1761200</v>
      </c>
      <c r="D26" s="24">
        <f t="shared" si="18"/>
        <v>2080880</v>
      </c>
      <c r="E26" s="25">
        <f t="shared" si="18"/>
        <v>2094200</v>
      </c>
      <c r="F26" s="24">
        <f t="shared" si="18"/>
        <v>2356160</v>
      </c>
      <c r="G26" s="25">
        <f t="shared" si="18"/>
        <v>2678800</v>
      </c>
      <c r="H26" s="24">
        <f t="shared" si="18"/>
        <v>3176080</v>
      </c>
      <c r="I26" s="25">
        <f t="shared" si="18"/>
        <v>3811000</v>
      </c>
      <c r="J26" s="24">
        <f t="shared" si="18"/>
        <v>4676800</v>
      </c>
      <c r="K26" s="42">
        <v>5225201</v>
      </c>
      <c r="L26" s="26" t="s">
        <v>32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5" customHeight="1" x14ac:dyDescent="0.2">
      <c r="A27" s="23" t="s">
        <v>73</v>
      </c>
      <c r="B27" s="24">
        <f t="shared" ref="B27:J27" si="19">(B10*0.03*17)+B10</f>
        <v>1458660</v>
      </c>
      <c r="C27" s="25">
        <f t="shared" si="19"/>
        <v>1796900</v>
      </c>
      <c r="D27" s="24">
        <f t="shared" si="19"/>
        <v>2123060</v>
      </c>
      <c r="E27" s="25">
        <f t="shared" si="19"/>
        <v>2136650</v>
      </c>
      <c r="F27" s="24">
        <f t="shared" si="19"/>
        <v>2403920</v>
      </c>
      <c r="G27" s="25">
        <f t="shared" si="19"/>
        <v>2733100</v>
      </c>
      <c r="H27" s="24">
        <f t="shared" si="19"/>
        <v>3240460</v>
      </c>
      <c r="I27" s="25">
        <f t="shared" si="19"/>
        <v>3888250</v>
      </c>
      <c r="J27" s="24">
        <f t="shared" si="19"/>
        <v>4771600</v>
      </c>
      <c r="K27" s="42">
        <v>5298588</v>
      </c>
      <c r="L27" s="26" t="s">
        <v>33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15" customHeight="1" x14ac:dyDescent="0.2">
      <c r="A28" s="23" t="s">
        <v>74</v>
      </c>
      <c r="B28" s="24">
        <f t="shared" ref="B28:J28" si="20">(B10*0.03*18)+B10</f>
        <v>1487640</v>
      </c>
      <c r="C28" s="25">
        <f t="shared" si="20"/>
        <v>1832600</v>
      </c>
      <c r="D28" s="24">
        <f t="shared" si="20"/>
        <v>2165240</v>
      </c>
      <c r="E28" s="25">
        <f t="shared" si="20"/>
        <v>2179100</v>
      </c>
      <c r="F28" s="24">
        <f t="shared" si="20"/>
        <v>2451680</v>
      </c>
      <c r="G28" s="25">
        <f t="shared" si="20"/>
        <v>2787400</v>
      </c>
      <c r="H28" s="24">
        <f t="shared" si="20"/>
        <v>3304840</v>
      </c>
      <c r="I28" s="25">
        <f t="shared" si="20"/>
        <v>3965500</v>
      </c>
      <c r="J28" s="24">
        <f t="shared" si="20"/>
        <v>4866400</v>
      </c>
      <c r="K28" s="42">
        <v>5371976</v>
      </c>
      <c r="L28" s="26" t="s">
        <v>34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5" customHeight="1" x14ac:dyDescent="0.2">
      <c r="A29" s="23" t="s">
        <v>75</v>
      </c>
      <c r="B29" s="24">
        <f t="shared" ref="B29:J29" si="21">(B10*0.03*19)+B10</f>
        <v>1516620</v>
      </c>
      <c r="C29" s="25">
        <f t="shared" si="21"/>
        <v>1868300</v>
      </c>
      <c r="D29" s="24">
        <f t="shared" si="21"/>
        <v>2207420</v>
      </c>
      <c r="E29" s="25">
        <f t="shared" si="21"/>
        <v>2221550</v>
      </c>
      <c r="F29" s="24">
        <f t="shared" si="21"/>
        <v>2499440</v>
      </c>
      <c r="G29" s="25">
        <f t="shared" si="21"/>
        <v>2841700</v>
      </c>
      <c r="H29" s="24">
        <f t="shared" si="21"/>
        <v>3369220</v>
      </c>
      <c r="I29" s="25">
        <f t="shared" si="21"/>
        <v>4042750</v>
      </c>
      <c r="J29" s="24">
        <f t="shared" si="21"/>
        <v>4961200</v>
      </c>
      <c r="K29" s="42">
        <v>5445364</v>
      </c>
      <c r="L29" s="26" t="s">
        <v>35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15" customHeight="1" x14ac:dyDescent="0.2">
      <c r="A30" s="23" t="s">
        <v>76</v>
      </c>
      <c r="B30" s="24">
        <f t="shared" ref="B30:J30" si="22">(B10*0.03*20)+B10</f>
        <v>1545600</v>
      </c>
      <c r="C30" s="25">
        <f t="shared" si="22"/>
        <v>1904000</v>
      </c>
      <c r="D30" s="24">
        <f t="shared" si="22"/>
        <v>2249600</v>
      </c>
      <c r="E30" s="25">
        <f t="shared" si="22"/>
        <v>2264000</v>
      </c>
      <c r="F30" s="24">
        <f t="shared" si="22"/>
        <v>2547200</v>
      </c>
      <c r="G30" s="25">
        <f t="shared" si="22"/>
        <v>2896000</v>
      </c>
      <c r="H30" s="24">
        <f t="shared" si="22"/>
        <v>3433600</v>
      </c>
      <c r="I30" s="25">
        <f t="shared" si="22"/>
        <v>4120000</v>
      </c>
      <c r="J30" s="24">
        <f t="shared" si="22"/>
        <v>5056000</v>
      </c>
      <c r="K30" s="42">
        <v>5518751</v>
      </c>
      <c r="L30" s="26" t="s">
        <v>36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15" customHeight="1" x14ac:dyDescent="0.2">
      <c r="A31" s="23" t="s">
        <v>77</v>
      </c>
      <c r="B31" s="24">
        <f t="shared" ref="B31:J31" si="23">(B10*0.03*21)+B10</f>
        <v>1574580</v>
      </c>
      <c r="C31" s="25">
        <f t="shared" si="23"/>
        <v>1939700</v>
      </c>
      <c r="D31" s="24">
        <f t="shared" si="23"/>
        <v>2291780</v>
      </c>
      <c r="E31" s="25">
        <f t="shared" si="23"/>
        <v>2306450</v>
      </c>
      <c r="F31" s="24">
        <f t="shared" si="23"/>
        <v>2594960</v>
      </c>
      <c r="G31" s="25">
        <f t="shared" si="23"/>
        <v>2950300</v>
      </c>
      <c r="H31" s="24">
        <f t="shared" si="23"/>
        <v>3497980</v>
      </c>
      <c r="I31" s="25">
        <f t="shared" si="23"/>
        <v>4197250</v>
      </c>
      <c r="J31" s="24">
        <f t="shared" si="23"/>
        <v>5150800</v>
      </c>
      <c r="K31" s="42">
        <v>5592139</v>
      </c>
      <c r="L31" s="26" t="s">
        <v>37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15" customHeight="1" x14ac:dyDescent="0.2">
      <c r="A32" s="23" t="s">
        <v>78</v>
      </c>
      <c r="B32" s="24">
        <f t="shared" ref="B32:J32" si="24">(B10*0.03*22)+B10</f>
        <v>1603560</v>
      </c>
      <c r="C32" s="25">
        <f t="shared" si="24"/>
        <v>1975400</v>
      </c>
      <c r="D32" s="24">
        <f t="shared" si="24"/>
        <v>2333960</v>
      </c>
      <c r="E32" s="25">
        <f t="shared" si="24"/>
        <v>2348900</v>
      </c>
      <c r="F32" s="24">
        <f t="shared" si="24"/>
        <v>2642720</v>
      </c>
      <c r="G32" s="25">
        <f t="shared" si="24"/>
        <v>3004600</v>
      </c>
      <c r="H32" s="24">
        <f t="shared" si="24"/>
        <v>3562360</v>
      </c>
      <c r="I32" s="25">
        <f t="shared" si="24"/>
        <v>4274500</v>
      </c>
      <c r="J32" s="24">
        <f t="shared" si="24"/>
        <v>5245600</v>
      </c>
      <c r="K32" s="42">
        <v>5665527</v>
      </c>
      <c r="L32" s="26" t="s">
        <v>38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ht="15" customHeight="1" x14ac:dyDescent="0.2">
      <c r="A33" s="23" t="s">
        <v>79</v>
      </c>
      <c r="B33" s="24">
        <f t="shared" ref="B33:J33" si="25">(B10*0.03*23)+B10</f>
        <v>1632540</v>
      </c>
      <c r="C33" s="25">
        <f t="shared" si="25"/>
        <v>2011100</v>
      </c>
      <c r="D33" s="24">
        <f t="shared" si="25"/>
        <v>2376140</v>
      </c>
      <c r="E33" s="25">
        <f t="shared" si="25"/>
        <v>2391350</v>
      </c>
      <c r="F33" s="24">
        <f t="shared" si="25"/>
        <v>2690480</v>
      </c>
      <c r="G33" s="25">
        <f t="shared" si="25"/>
        <v>3058900</v>
      </c>
      <c r="H33" s="24">
        <f t="shared" si="25"/>
        <v>3626740</v>
      </c>
      <c r="I33" s="25">
        <f t="shared" si="25"/>
        <v>4351750</v>
      </c>
      <c r="J33" s="24">
        <f t="shared" si="25"/>
        <v>5340400</v>
      </c>
      <c r="K33" s="42">
        <v>5738914</v>
      </c>
      <c r="L33" s="26" t="s">
        <v>39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ht="15" customHeight="1" x14ac:dyDescent="0.2">
      <c r="A34" s="23" t="s">
        <v>80</v>
      </c>
      <c r="B34" s="24">
        <f t="shared" ref="B34:J34" si="26">(B10*0.03*24)+B10</f>
        <v>1661520</v>
      </c>
      <c r="C34" s="25">
        <f t="shared" si="26"/>
        <v>2046800</v>
      </c>
      <c r="D34" s="24">
        <f t="shared" si="26"/>
        <v>2418320</v>
      </c>
      <c r="E34" s="25">
        <f t="shared" si="26"/>
        <v>2433800</v>
      </c>
      <c r="F34" s="24">
        <f t="shared" si="26"/>
        <v>2738240</v>
      </c>
      <c r="G34" s="25">
        <f t="shared" si="26"/>
        <v>3113200</v>
      </c>
      <c r="H34" s="24">
        <f t="shared" si="26"/>
        <v>3691120</v>
      </c>
      <c r="I34" s="25">
        <f t="shared" si="26"/>
        <v>4429000</v>
      </c>
      <c r="J34" s="24">
        <f t="shared" si="26"/>
        <v>5435200</v>
      </c>
      <c r="K34" s="42">
        <v>5812302</v>
      </c>
      <c r="L34" s="26" t="s">
        <v>40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ht="15" customHeight="1" x14ac:dyDescent="0.2">
      <c r="A35" s="23" t="s">
        <v>81</v>
      </c>
      <c r="B35" s="24">
        <f t="shared" ref="B35:J35" si="27">(B10*0.03*25)+B10</f>
        <v>1690500</v>
      </c>
      <c r="C35" s="25">
        <f t="shared" si="27"/>
        <v>2082500</v>
      </c>
      <c r="D35" s="24">
        <f t="shared" si="27"/>
        <v>2460500</v>
      </c>
      <c r="E35" s="25">
        <f t="shared" si="27"/>
        <v>2476250</v>
      </c>
      <c r="F35" s="24">
        <f t="shared" si="27"/>
        <v>2786000</v>
      </c>
      <c r="G35" s="25">
        <f t="shared" si="27"/>
        <v>3167500</v>
      </c>
      <c r="H35" s="24">
        <f t="shared" si="27"/>
        <v>3755500</v>
      </c>
      <c r="I35" s="25">
        <f t="shared" si="27"/>
        <v>4506250</v>
      </c>
      <c r="J35" s="24">
        <f t="shared" si="27"/>
        <v>5530000</v>
      </c>
      <c r="K35" s="42">
        <v>5885690</v>
      </c>
      <c r="L35" s="26" t="s">
        <v>43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</sheetData>
  <printOptions horizontalCentered="1" verticalCentered="1"/>
  <pageMargins left="0.39374999999999999" right="0.39374999999999999" top="0.78749999999999998" bottom="0.196527777777778" header="0.39374999999999999" footer="0.51180555555555496"/>
  <pageSetup paperSize="0" scale="0" firstPageNumber="0" orientation="portrait" usePrinterDefaults="0" horizontalDpi="0" verticalDpi="0" copies="0"/>
  <headerFooter>
    <oddHeader>&amp;C&amp;"Comic Sans MS,Fett"&amp;12Gehaltstabellen von 01.02.1994 bis 31.12.1994 / Tabelle stipendiali von 01.02.1994 bis 31.12.1994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topLeftCell="B1" zoomScaleNormal="100" workbookViewId="0">
      <selection activeCell="I31" sqref="I31"/>
    </sheetView>
  </sheetViews>
  <sheetFormatPr baseColWidth="10" defaultColWidth="9.140625" defaultRowHeight="12.75" x14ac:dyDescent="0.2"/>
  <cols>
    <col min="1" max="1" width="0" hidden="1"/>
    <col min="2" max="2" width="23.42578125"/>
    <col min="3" max="12" width="11.140625"/>
    <col min="13" max="13" width="4.85546875"/>
    <col min="14" max="256" width="11.28515625"/>
    <col min="257" max="1025" width="11.5703125"/>
  </cols>
  <sheetData>
    <row r="1" spans="1:256" x14ac:dyDescent="0.2">
      <c r="A1" s="1"/>
      <c r="B1" s="1"/>
      <c r="C1" s="2"/>
      <c r="D1" s="3"/>
      <c r="E1" s="2"/>
      <c r="F1" s="3"/>
      <c r="G1" s="2"/>
      <c r="H1" s="3"/>
      <c r="I1" s="2"/>
      <c r="J1" s="3"/>
      <c r="K1" s="2"/>
      <c r="L1" s="2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x14ac:dyDescent="0.25">
      <c r="A2" s="5"/>
      <c r="B2" s="6">
        <v>1936.27</v>
      </c>
      <c r="C2" s="9" t="s">
        <v>44</v>
      </c>
      <c r="D2" s="40" t="s">
        <v>45</v>
      </c>
      <c r="E2" s="9" t="s">
        <v>46</v>
      </c>
      <c r="F2" s="40" t="s">
        <v>47</v>
      </c>
      <c r="G2" s="9" t="s">
        <v>48</v>
      </c>
      <c r="H2" s="40" t="s">
        <v>49</v>
      </c>
      <c r="I2" s="9" t="s">
        <v>50</v>
      </c>
      <c r="J2" s="40" t="s">
        <v>51</v>
      </c>
      <c r="K2" s="9" t="s">
        <v>52</v>
      </c>
      <c r="L2" s="29" t="s">
        <v>9</v>
      </c>
      <c r="M2" s="11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" x14ac:dyDescent="0.2">
      <c r="A3" s="12"/>
      <c r="B3" s="13" t="s">
        <v>10</v>
      </c>
      <c r="C3" s="14"/>
      <c r="D3" s="15"/>
      <c r="E3" s="14"/>
      <c r="F3" s="15"/>
      <c r="G3" s="14"/>
      <c r="H3" s="15"/>
      <c r="I3" s="14"/>
      <c r="J3" s="15"/>
      <c r="K3" s="14"/>
      <c r="L3" s="31"/>
      <c r="M3" s="16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15.75" x14ac:dyDescent="0.25">
      <c r="A4" s="17"/>
      <c r="B4" s="18" t="s">
        <v>11</v>
      </c>
      <c r="C4" s="47">
        <f>755000/1936.27</f>
        <v>389.92495881256229</v>
      </c>
      <c r="D4" s="48">
        <f>929000/1936.27</f>
        <v>479.78845925413293</v>
      </c>
      <c r="E4" s="47">
        <f>1083000/1936.27</f>
        <v>559.32282171391387</v>
      </c>
      <c r="F4" s="48">
        <f>1090000/1936.27</f>
        <v>562.93802000754033</v>
      </c>
      <c r="G4" s="47">
        <f>1227000/1936.27</f>
        <v>633.69261518279995</v>
      </c>
      <c r="H4" s="48">
        <f>1369000/1936.27</f>
        <v>707.029494853507</v>
      </c>
      <c r="I4" s="47">
        <f>1624000/1936.27</f>
        <v>838.72600412132601</v>
      </c>
      <c r="J4" s="48">
        <f>1984000/1936.27</f>
        <v>1024.6504877935413</v>
      </c>
      <c r="K4" s="47">
        <f>2370000/1936.27</f>
        <v>1224.002850842083</v>
      </c>
      <c r="L4" s="49">
        <f>2935506/B2</f>
        <v>1516.0623260185821</v>
      </c>
      <c r="M4" s="21" t="s">
        <v>12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15" x14ac:dyDescent="0.2">
      <c r="A5" s="22">
        <v>1</v>
      </c>
      <c r="B5" s="23" t="s">
        <v>53</v>
      </c>
      <c r="C5" s="50">
        <f>($C$4*0.06*A5)+$C$4</f>
        <v>413.320456341316</v>
      </c>
      <c r="D5" s="51">
        <f>($D$4*0.06*A5)+$D$4</f>
        <v>508.57576680938092</v>
      </c>
      <c r="E5" s="50">
        <f>($E$4*0.06*A5)+$E$4</f>
        <v>592.88219101674872</v>
      </c>
      <c r="F5" s="51">
        <f>($F$4*0.06*A5)+$F$4</f>
        <v>596.71430120799278</v>
      </c>
      <c r="G5" s="50">
        <f>($G$4*0.06*A5)+$G$4</f>
        <v>671.71417209376796</v>
      </c>
      <c r="H5" s="51">
        <f>($H$4*0.06*A5)+$H$4</f>
        <v>749.45126454471745</v>
      </c>
      <c r="I5" s="50">
        <f>($I$4*0.06*A5)+$I$4</f>
        <v>889.04956436860562</v>
      </c>
      <c r="J5" s="51">
        <f>($J$4*0.06*A5)+$J$4</f>
        <v>1086.1295170611538</v>
      </c>
      <c r="K5" s="50">
        <f>($K$4*0.06*A5)+$K$4</f>
        <v>1297.4430218926079</v>
      </c>
      <c r="L5" s="52">
        <f>(L4*0.06*1)+L4</f>
        <v>1607.0260655796969</v>
      </c>
      <c r="M5" s="26" t="s">
        <v>13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15" x14ac:dyDescent="0.2">
      <c r="A6" s="22">
        <v>2</v>
      </c>
      <c r="B6" s="23" t="s">
        <v>54</v>
      </c>
      <c r="C6" s="50">
        <f>($C$4*0.06*A6)+$C$4</f>
        <v>436.71595387006977</v>
      </c>
      <c r="D6" s="51">
        <f>($D$4*0.06*A6)+$D$4</f>
        <v>537.36307436462891</v>
      </c>
      <c r="E6" s="50">
        <f>($E$4*0.06*A6)+$E$4</f>
        <v>626.44156031958357</v>
      </c>
      <c r="F6" s="51">
        <f>($F$4*0.06*A6)+$F$4</f>
        <v>630.49058240844511</v>
      </c>
      <c r="G6" s="50">
        <f>($G$4*0.06*A6)+$G$4</f>
        <v>709.73572900473596</v>
      </c>
      <c r="H6" s="51">
        <f>($H$4*0.06*A6)+$H$4</f>
        <v>791.87303423592789</v>
      </c>
      <c r="I6" s="50">
        <f>($I$4*0.06*A6)+$I$4</f>
        <v>939.3731246158851</v>
      </c>
      <c r="J6" s="51">
        <f>($J$4*0.06*A6)+$J$4</f>
        <v>1147.6085463287664</v>
      </c>
      <c r="K6" s="50">
        <f>($K$4*0.06*A6)+$K$4</f>
        <v>1370.8831929431331</v>
      </c>
      <c r="L6" s="52">
        <f>(L4*0.06*2)+L4</f>
        <v>1697.989805140812</v>
      </c>
      <c r="M6" s="27" t="s">
        <v>14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15" x14ac:dyDescent="0.2">
      <c r="A7" s="22">
        <v>3</v>
      </c>
      <c r="B7" s="23" t="s">
        <v>55</v>
      </c>
      <c r="C7" s="50">
        <f>($C$4*0.06*A7)+$C$4</f>
        <v>460.11145139882353</v>
      </c>
      <c r="D7" s="51">
        <f>($D$4*0.06*A7)+$D$4</f>
        <v>566.15038191987685</v>
      </c>
      <c r="E7" s="50">
        <f>($E$4*0.06*A7)+$E$4</f>
        <v>660.00092962241843</v>
      </c>
      <c r="F7" s="51">
        <f>($F$4*0.06*A7)+$F$4</f>
        <v>664.26686360889755</v>
      </c>
      <c r="G7" s="50">
        <f>($G$4*0.06*A7)+$G$4</f>
        <v>747.75728591570396</v>
      </c>
      <c r="H7" s="51">
        <f>($H$4*0.06*A7)+$H$4</f>
        <v>834.29480392713822</v>
      </c>
      <c r="I7" s="50">
        <f>($I$4*0.06*A7)+$I$4</f>
        <v>989.69668486316471</v>
      </c>
      <c r="J7" s="51">
        <f>($J$4*0.06*A7)+$J$4</f>
        <v>1209.0875755963787</v>
      </c>
      <c r="K7" s="50">
        <f>($K$4*0.06*A7)+$K$4</f>
        <v>1444.3233639936579</v>
      </c>
      <c r="L7" s="52">
        <f>(L4*0.06*3)+L4</f>
        <v>1788.9535447019268</v>
      </c>
      <c r="M7" s="26" t="s">
        <v>15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ht="15" x14ac:dyDescent="0.2">
      <c r="A8" s="22"/>
      <c r="B8" s="22"/>
      <c r="C8" s="37"/>
      <c r="D8" s="38"/>
      <c r="E8" s="37"/>
      <c r="F8" s="38"/>
      <c r="G8" s="37"/>
      <c r="H8" s="38"/>
      <c r="I8" s="37"/>
      <c r="J8" s="38"/>
      <c r="K8" s="37"/>
      <c r="L8" s="43"/>
      <c r="M8" s="4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ht="15" x14ac:dyDescent="0.2">
      <c r="A9" s="12"/>
      <c r="B9" s="12" t="s">
        <v>56</v>
      </c>
      <c r="C9" s="44"/>
      <c r="D9" s="45"/>
      <c r="E9" s="44"/>
      <c r="F9" s="45"/>
      <c r="G9" s="44"/>
      <c r="H9" s="45"/>
      <c r="I9" s="44"/>
      <c r="J9" s="45"/>
      <c r="K9" s="44"/>
      <c r="L9" s="46"/>
      <c r="M9" s="16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spans="1:256" ht="15.75" x14ac:dyDescent="0.25">
      <c r="A10" s="17"/>
      <c r="B10" s="18" t="s">
        <v>11</v>
      </c>
      <c r="C10" s="47">
        <f>966000/1936.27</f>
        <v>498.89736452044394</v>
      </c>
      <c r="D10" s="48">
        <f>1190000/B2</f>
        <v>614.58370991648894</v>
      </c>
      <c r="E10" s="47">
        <f>1406000/B2</f>
        <v>726.13840011981802</v>
      </c>
      <c r="F10" s="48">
        <f>1415000/B2</f>
        <v>730.7865122116234</v>
      </c>
      <c r="G10" s="47">
        <f>1592000/B2</f>
        <v>822.19938335046254</v>
      </c>
      <c r="H10" s="48">
        <f>1810000/B2</f>
        <v>934.78698735197054</v>
      </c>
      <c r="I10" s="47">
        <f>2146000/B2</f>
        <v>1108.316505446038</v>
      </c>
      <c r="J10" s="48">
        <f>2575000/B2</f>
        <v>1329.8765151554278</v>
      </c>
      <c r="K10" s="47">
        <f>3160000/B2</f>
        <v>1632.0038011227773</v>
      </c>
      <c r="L10" s="49">
        <f>3640027/B2</f>
        <v>1879.9170570220062</v>
      </c>
      <c r="M10" s="26" t="s">
        <v>16</v>
      </c>
      <c r="N10" s="22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ht="15" x14ac:dyDescent="0.2">
      <c r="A11" s="22">
        <v>1</v>
      </c>
      <c r="B11" s="23" t="s">
        <v>57</v>
      </c>
      <c r="C11" s="50">
        <f t="shared" ref="C11:C35" si="0">($C$10*0.03*A11)+$C$10</f>
        <v>513.86428545605725</v>
      </c>
      <c r="D11" s="51">
        <f t="shared" ref="D11:D35" si="1">($D$10*0.03*A11)+$D$10</f>
        <v>633.02122121398361</v>
      </c>
      <c r="E11" s="50">
        <f t="shared" ref="E11:E35" si="2">($E$10*0.03*A11)+$E$10</f>
        <v>747.92255212341252</v>
      </c>
      <c r="F11" s="51">
        <f t="shared" ref="F11:F35" si="3">($F$10*0.03*A11)+$F$10</f>
        <v>752.71010757797205</v>
      </c>
      <c r="G11" s="50">
        <f t="shared" ref="G11:G35" si="4">($G$10*0.03*A11)+$G$10</f>
        <v>846.86536485097645</v>
      </c>
      <c r="H11" s="51">
        <f t="shared" ref="H11:H35" si="5">($H$10*0.03*A11)+$H$10</f>
        <v>962.83059697252963</v>
      </c>
      <c r="I11" s="50">
        <f t="shared" ref="I11:I35" si="6">($I$10*0.03*A11)+$I$10</f>
        <v>1141.5660006094192</v>
      </c>
      <c r="J11" s="51">
        <f t="shared" ref="J11:J35" si="7">($J$10*0.03*A11)+$J$10</f>
        <v>1369.7728106100906</v>
      </c>
      <c r="K11" s="50">
        <f t="shared" ref="K11:K35" si="8">($K$10*0.03*A11)+$K$10</f>
        <v>1680.9639151564606</v>
      </c>
      <c r="L11" s="52">
        <f>3816158/B2</f>
        <v>1970.8811271155366</v>
      </c>
      <c r="M11" s="26" t="s">
        <v>17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" x14ac:dyDescent="0.2">
      <c r="A12" s="22">
        <v>2</v>
      </c>
      <c r="B12" s="23" t="s">
        <v>58</v>
      </c>
      <c r="C12" s="50">
        <f t="shared" si="0"/>
        <v>528.83120639167055</v>
      </c>
      <c r="D12" s="51">
        <f t="shared" si="1"/>
        <v>651.45873251147827</v>
      </c>
      <c r="E12" s="50">
        <f t="shared" si="2"/>
        <v>769.70670412700713</v>
      </c>
      <c r="F12" s="51">
        <f t="shared" si="3"/>
        <v>774.63370294432082</v>
      </c>
      <c r="G12" s="50">
        <f t="shared" si="4"/>
        <v>871.53134635149024</v>
      </c>
      <c r="H12" s="51">
        <f t="shared" si="5"/>
        <v>990.87420659308873</v>
      </c>
      <c r="I12" s="50">
        <f t="shared" si="6"/>
        <v>1174.8154957728002</v>
      </c>
      <c r="J12" s="51">
        <f t="shared" si="7"/>
        <v>1409.6691060647536</v>
      </c>
      <c r="K12" s="50">
        <f t="shared" si="8"/>
        <v>1729.924029190144</v>
      </c>
      <c r="L12" s="52">
        <f>3992288/B2</f>
        <v>2061.8446807521677</v>
      </c>
      <c r="M12" s="26" t="s">
        <v>18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ht="15" x14ac:dyDescent="0.2">
      <c r="A13" s="22">
        <v>3</v>
      </c>
      <c r="B13" s="23" t="s">
        <v>59</v>
      </c>
      <c r="C13" s="50">
        <f t="shared" si="0"/>
        <v>543.79812732728385</v>
      </c>
      <c r="D13" s="51">
        <f t="shared" si="1"/>
        <v>669.89624380897294</v>
      </c>
      <c r="E13" s="50">
        <f t="shared" si="2"/>
        <v>791.49085613060163</v>
      </c>
      <c r="F13" s="51">
        <f t="shared" si="3"/>
        <v>796.55729831066947</v>
      </c>
      <c r="G13" s="50">
        <f t="shared" si="4"/>
        <v>896.19732785200415</v>
      </c>
      <c r="H13" s="51">
        <f t="shared" si="5"/>
        <v>1018.9178162136479</v>
      </c>
      <c r="I13" s="50">
        <f t="shared" si="6"/>
        <v>1208.0649909361814</v>
      </c>
      <c r="J13" s="51">
        <f t="shared" si="7"/>
        <v>1449.5654015194164</v>
      </c>
      <c r="K13" s="50">
        <f t="shared" si="8"/>
        <v>1778.8841432238273</v>
      </c>
      <c r="L13" s="52">
        <f>4168419/B2</f>
        <v>2152.8087508456983</v>
      </c>
      <c r="M13" s="26" t="s">
        <v>19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15" x14ac:dyDescent="0.2">
      <c r="A14" s="22">
        <v>4</v>
      </c>
      <c r="B14" s="23" t="s">
        <v>60</v>
      </c>
      <c r="C14" s="50">
        <f t="shared" si="0"/>
        <v>558.76504826289727</v>
      </c>
      <c r="D14" s="51">
        <f t="shared" si="1"/>
        <v>688.33375510646761</v>
      </c>
      <c r="E14" s="50">
        <f t="shared" si="2"/>
        <v>813.27500813419613</v>
      </c>
      <c r="F14" s="51">
        <f t="shared" si="3"/>
        <v>818.48089367701823</v>
      </c>
      <c r="G14" s="50">
        <f t="shared" si="4"/>
        <v>920.86330935251806</v>
      </c>
      <c r="H14" s="51">
        <f t="shared" si="5"/>
        <v>1046.9614258342069</v>
      </c>
      <c r="I14" s="50">
        <f t="shared" si="6"/>
        <v>1241.3144860995626</v>
      </c>
      <c r="J14" s="51">
        <f t="shared" si="7"/>
        <v>1489.4616969740791</v>
      </c>
      <c r="K14" s="50">
        <f t="shared" si="8"/>
        <v>1827.8442572575107</v>
      </c>
      <c r="L14" s="52">
        <f>4344549/B2</f>
        <v>2243.7723044823297</v>
      </c>
      <c r="M14" s="26" t="s">
        <v>20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5" x14ac:dyDescent="0.2">
      <c r="A15" s="22">
        <v>5</v>
      </c>
      <c r="B15" s="23" t="s">
        <v>61</v>
      </c>
      <c r="C15" s="50">
        <f t="shared" si="0"/>
        <v>573.73196919851057</v>
      </c>
      <c r="D15" s="51">
        <f t="shared" si="1"/>
        <v>706.77126640396227</v>
      </c>
      <c r="E15" s="50">
        <f t="shared" si="2"/>
        <v>835.05916013779074</v>
      </c>
      <c r="F15" s="51">
        <f t="shared" si="3"/>
        <v>840.40448904336688</v>
      </c>
      <c r="G15" s="50">
        <f t="shared" si="4"/>
        <v>945.52929085303197</v>
      </c>
      <c r="H15" s="51">
        <f t="shared" si="5"/>
        <v>1075.0050354547661</v>
      </c>
      <c r="I15" s="50">
        <f t="shared" si="6"/>
        <v>1274.5639812629438</v>
      </c>
      <c r="J15" s="51">
        <f t="shared" si="7"/>
        <v>1529.3579924287419</v>
      </c>
      <c r="K15" s="50">
        <f t="shared" si="8"/>
        <v>1876.804371291194</v>
      </c>
      <c r="L15" s="52">
        <f>4417937/B2</f>
        <v>2281.6740433927089</v>
      </c>
      <c r="M15" s="26" t="s">
        <v>21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15" x14ac:dyDescent="0.2">
      <c r="A16" s="22">
        <v>6</v>
      </c>
      <c r="B16" s="23" t="s">
        <v>62</v>
      </c>
      <c r="C16" s="50">
        <f t="shared" si="0"/>
        <v>588.69889013412387</v>
      </c>
      <c r="D16" s="51">
        <f t="shared" si="1"/>
        <v>725.20877770145694</v>
      </c>
      <c r="E16" s="50">
        <f t="shared" si="2"/>
        <v>856.84331214138524</v>
      </c>
      <c r="F16" s="51">
        <f t="shared" si="3"/>
        <v>862.32808440971553</v>
      </c>
      <c r="G16" s="50">
        <f t="shared" si="4"/>
        <v>970.19527235354576</v>
      </c>
      <c r="H16" s="51">
        <f t="shared" si="5"/>
        <v>1103.0486450753251</v>
      </c>
      <c r="I16" s="50">
        <f t="shared" si="6"/>
        <v>1307.813476426325</v>
      </c>
      <c r="J16" s="51">
        <f t="shared" si="7"/>
        <v>1569.2542878834047</v>
      </c>
      <c r="K16" s="50">
        <f t="shared" si="8"/>
        <v>1925.7644853248771</v>
      </c>
      <c r="L16" s="52">
        <f>4491324/B2</f>
        <v>2319.5752658461888</v>
      </c>
      <c r="M16" s="26" t="s">
        <v>22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5" x14ac:dyDescent="0.2">
      <c r="A17" s="22">
        <v>7</v>
      </c>
      <c r="B17" s="23" t="s">
        <v>63</v>
      </c>
      <c r="C17" s="50">
        <f t="shared" si="0"/>
        <v>603.66581106973717</v>
      </c>
      <c r="D17" s="51">
        <f t="shared" si="1"/>
        <v>743.6462889989516</v>
      </c>
      <c r="E17" s="50">
        <f t="shared" si="2"/>
        <v>878.62746414497974</v>
      </c>
      <c r="F17" s="51">
        <f t="shared" si="3"/>
        <v>884.25167977606429</v>
      </c>
      <c r="G17" s="50">
        <f t="shared" si="4"/>
        <v>994.86125385405967</v>
      </c>
      <c r="H17" s="51">
        <f t="shared" si="5"/>
        <v>1131.0922546958843</v>
      </c>
      <c r="I17" s="50">
        <f t="shared" si="6"/>
        <v>1341.062971589706</v>
      </c>
      <c r="J17" s="51">
        <f t="shared" si="7"/>
        <v>1609.1505833380677</v>
      </c>
      <c r="K17" s="50">
        <f t="shared" si="8"/>
        <v>1974.7245993585605</v>
      </c>
      <c r="L17" s="52">
        <f>4564712/B2</f>
        <v>2357.477004756568</v>
      </c>
      <c r="M17" s="26" t="s">
        <v>23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5" x14ac:dyDescent="0.2">
      <c r="A18" s="22">
        <v>8</v>
      </c>
      <c r="B18" s="23" t="s">
        <v>64</v>
      </c>
      <c r="C18" s="50">
        <f t="shared" si="0"/>
        <v>618.63273200535048</v>
      </c>
      <c r="D18" s="51">
        <f t="shared" si="1"/>
        <v>762.08380029644627</v>
      </c>
      <c r="E18" s="50">
        <f t="shared" si="2"/>
        <v>900.41161614857435</v>
      </c>
      <c r="F18" s="51">
        <f t="shared" si="3"/>
        <v>906.17527514241306</v>
      </c>
      <c r="G18" s="50">
        <f t="shared" si="4"/>
        <v>1019.5272353545736</v>
      </c>
      <c r="H18" s="51">
        <f t="shared" si="5"/>
        <v>1159.1358643164435</v>
      </c>
      <c r="I18" s="50">
        <f t="shared" si="6"/>
        <v>1374.3124667530872</v>
      </c>
      <c r="J18" s="51">
        <f t="shared" si="7"/>
        <v>1649.0468787927305</v>
      </c>
      <c r="K18" s="50">
        <f t="shared" si="8"/>
        <v>2023.6847133922438</v>
      </c>
      <c r="L18" s="52">
        <f>4638099/B2</f>
        <v>2395.3782272100484</v>
      </c>
      <c r="M18" s="26" t="s">
        <v>24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15" x14ac:dyDescent="0.2">
      <c r="A19" s="22">
        <v>9</v>
      </c>
      <c r="B19" s="23" t="s">
        <v>65</v>
      </c>
      <c r="C19" s="50">
        <f t="shared" si="0"/>
        <v>633.59965294096378</v>
      </c>
      <c r="D19" s="51">
        <f t="shared" si="1"/>
        <v>780.52131159394094</v>
      </c>
      <c r="E19" s="50">
        <f t="shared" si="2"/>
        <v>922.19576815216885</v>
      </c>
      <c r="F19" s="51">
        <f t="shared" si="3"/>
        <v>928.09887050876171</v>
      </c>
      <c r="G19" s="50">
        <f t="shared" si="4"/>
        <v>1044.1932168550875</v>
      </c>
      <c r="H19" s="51">
        <f t="shared" si="5"/>
        <v>1187.1794739370025</v>
      </c>
      <c r="I19" s="50">
        <f t="shared" si="6"/>
        <v>1407.5619619164684</v>
      </c>
      <c r="J19" s="51">
        <f t="shared" si="7"/>
        <v>1688.9431742473932</v>
      </c>
      <c r="K19" s="50">
        <f t="shared" si="8"/>
        <v>2072.6448274259274</v>
      </c>
      <c r="L19" s="52">
        <f>4711487/B2</f>
        <v>2433.2799661204276</v>
      </c>
      <c r="M19" s="26" t="s">
        <v>25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15" x14ac:dyDescent="0.2">
      <c r="A20" s="22">
        <v>10</v>
      </c>
      <c r="B20" s="23" t="s">
        <v>66</v>
      </c>
      <c r="C20" s="50">
        <f t="shared" si="0"/>
        <v>648.56657387657719</v>
      </c>
      <c r="D20" s="51">
        <f t="shared" si="1"/>
        <v>798.9588228914356</v>
      </c>
      <c r="E20" s="50">
        <f t="shared" si="2"/>
        <v>943.97992015576347</v>
      </c>
      <c r="F20" s="51">
        <f t="shared" si="3"/>
        <v>950.02246587511036</v>
      </c>
      <c r="G20" s="50">
        <f t="shared" si="4"/>
        <v>1068.8591983556014</v>
      </c>
      <c r="H20" s="51">
        <f t="shared" si="5"/>
        <v>1215.2230835575617</v>
      </c>
      <c r="I20" s="50">
        <f t="shared" si="6"/>
        <v>1440.8114570798493</v>
      </c>
      <c r="J20" s="51">
        <f t="shared" si="7"/>
        <v>1728.8394697020562</v>
      </c>
      <c r="K20" s="50">
        <f t="shared" si="8"/>
        <v>2121.6049414596105</v>
      </c>
      <c r="L20" s="52">
        <f>4784875/B2</f>
        <v>2471.1817050308068</v>
      </c>
      <c r="M20" s="26" t="s">
        <v>26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15" x14ac:dyDescent="0.2">
      <c r="A21" s="22">
        <v>11</v>
      </c>
      <c r="B21" s="23" t="s">
        <v>67</v>
      </c>
      <c r="C21" s="50">
        <f t="shared" si="0"/>
        <v>663.53349481219038</v>
      </c>
      <c r="D21" s="51">
        <f t="shared" si="1"/>
        <v>817.39633418893027</v>
      </c>
      <c r="E21" s="50">
        <f t="shared" si="2"/>
        <v>965.76407215935797</v>
      </c>
      <c r="F21" s="51">
        <f t="shared" si="3"/>
        <v>971.94606124145912</v>
      </c>
      <c r="G21" s="50">
        <f t="shared" si="4"/>
        <v>1093.5251798561153</v>
      </c>
      <c r="H21" s="51">
        <f t="shared" si="5"/>
        <v>1243.2666931781207</v>
      </c>
      <c r="I21" s="50">
        <f t="shared" si="6"/>
        <v>1474.0609522432305</v>
      </c>
      <c r="J21" s="51">
        <f t="shared" si="7"/>
        <v>1768.735765156719</v>
      </c>
      <c r="K21" s="50">
        <f t="shared" si="8"/>
        <v>2170.5650554932936</v>
      </c>
      <c r="L21" s="52">
        <f>4858262/B2</f>
        <v>2509.0829274842868</v>
      </c>
      <c r="M21" s="26" t="s">
        <v>27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15" x14ac:dyDescent="0.2">
      <c r="A22" s="22">
        <v>12</v>
      </c>
      <c r="B22" s="23" t="s">
        <v>68</v>
      </c>
      <c r="C22" s="50">
        <f t="shared" si="0"/>
        <v>678.5004157478038</v>
      </c>
      <c r="D22" s="51">
        <f t="shared" si="1"/>
        <v>835.83384548642493</v>
      </c>
      <c r="E22" s="50">
        <f t="shared" si="2"/>
        <v>987.54822416295247</v>
      </c>
      <c r="F22" s="51">
        <f t="shared" si="3"/>
        <v>993.86965660780777</v>
      </c>
      <c r="G22" s="50">
        <f t="shared" si="4"/>
        <v>1118.191161356629</v>
      </c>
      <c r="H22" s="51">
        <f t="shared" si="5"/>
        <v>1271.3103027986799</v>
      </c>
      <c r="I22" s="50">
        <f t="shared" si="6"/>
        <v>1507.3104474066117</v>
      </c>
      <c r="J22" s="51">
        <f t="shared" si="7"/>
        <v>1808.6320606113818</v>
      </c>
      <c r="K22" s="50">
        <f t="shared" si="8"/>
        <v>2219.5251695269772</v>
      </c>
      <c r="L22" s="52">
        <f>4931650/B2</f>
        <v>2546.984666394666</v>
      </c>
      <c r="M22" s="26" t="s">
        <v>28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15" x14ac:dyDescent="0.2">
      <c r="A23" s="22">
        <v>13</v>
      </c>
      <c r="B23" s="23" t="s">
        <v>69</v>
      </c>
      <c r="C23" s="50">
        <f t="shared" si="0"/>
        <v>693.4673366834171</v>
      </c>
      <c r="D23" s="51">
        <f t="shared" si="1"/>
        <v>854.2713567839196</v>
      </c>
      <c r="E23" s="50">
        <f t="shared" si="2"/>
        <v>1009.332376166547</v>
      </c>
      <c r="F23" s="51">
        <f t="shared" si="3"/>
        <v>1015.7932519741564</v>
      </c>
      <c r="G23" s="50">
        <f t="shared" si="4"/>
        <v>1142.8571428571429</v>
      </c>
      <c r="H23" s="51">
        <f t="shared" si="5"/>
        <v>1299.3539124192389</v>
      </c>
      <c r="I23" s="50">
        <f t="shared" si="6"/>
        <v>1540.5599425699929</v>
      </c>
      <c r="J23" s="51">
        <f t="shared" si="7"/>
        <v>1848.5283560660446</v>
      </c>
      <c r="K23" s="50">
        <f t="shared" si="8"/>
        <v>2268.4852835606607</v>
      </c>
      <c r="L23" s="52">
        <f>5005038/B2</f>
        <v>2584.8864053050452</v>
      </c>
      <c r="M23" s="26" t="s">
        <v>29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15" x14ac:dyDescent="0.2">
      <c r="A24" s="22">
        <v>14</v>
      </c>
      <c r="B24" s="23" t="s">
        <v>70</v>
      </c>
      <c r="C24" s="50">
        <f t="shared" si="0"/>
        <v>708.4342576190304</v>
      </c>
      <c r="D24" s="51">
        <f t="shared" si="1"/>
        <v>872.70886808141427</v>
      </c>
      <c r="E24" s="50">
        <f t="shared" si="2"/>
        <v>1031.1165281701415</v>
      </c>
      <c r="F24" s="51">
        <f t="shared" si="3"/>
        <v>1037.7168473405052</v>
      </c>
      <c r="G24" s="50">
        <f t="shared" si="4"/>
        <v>1167.5231243576568</v>
      </c>
      <c r="H24" s="51">
        <f t="shared" si="5"/>
        <v>1327.3975220397981</v>
      </c>
      <c r="I24" s="50">
        <f t="shared" si="6"/>
        <v>1573.8094377333741</v>
      </c>
      <c r="J24" s="51">
        <f t="shared" si="7"/>
        <v>1888.4246515207074</v>
      </c>
      <c r="K24" s="50">
        <f t="shared" si="8"/>
        <v>2317.4453975943438</v>
      </c>
      <c r="L24" s="52">
        <f>5078425/B2</f>
        <v>2622.7876277585256</v>
      </c>
      <c r="M24" s="26" t="s">
        <v>30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5" x14ac:dyDescent="0.2">
      <c r="A25" s="22">
        <v>15</v>
      </c>
      <c r="B25" s="23" t="s">
        <v>71</v>
      </c>
      <c r="C25" s="50">
        <f t="shared" si="0"/>
        <v>723.40117855464371</v>
      </c>
      <c r="D25" s="51">
        <f t="shared" si="1"/>
        <v>891.14637937890893</v>
      </c>
      <c r="E25" s="50">
        <f t="shared" si="2"/>
        <v>1052.900680173736</v>
      </c>
      <c r="F25" s="51">
        <f t="shared" si="3"/>
        <v>1059.6404427068539</v>
      </c>
      <c r="G25" s="50">
        <f t="shared" si="4"/>
        <v>1192.1891058581707</v>
      </c>
      <c r="H25" s="51">
        <f t="shared" si="5"/>
        <v>1355.4411316603573</v>
      </c>
      <c r="I25" s="50">
        <f t="shared" si="6"/>
        <v>1607.0589328967551</v>
      </c>
      <c r="J25" s="51">
        <f t="shared" si="7"/>
        <v>1928.3209469753704</v>
      </c>
      <c r="K25" s="50">
        <f t="shared" si="8"/>
        <v>2366.4055116280269</v>
      </c>
      <c r="L25" s="52">
        <f>5151813/B2</f>
        <v>2660.6893666689048</v>
      </c>
      <c r="M25" s="26" t="s">
        <v>31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15" x14ac:dyDescent="0.2">
      <c r="A26" s="22">
        <v>16</v>
      </c>
      <c r="B26" s="23" t="s">
        <v>72</v>
      </c>
      <c r="C26" s="50">
        <f t="shared" si="0"/>
        <v>738.36809949025701</v>
      </c>
      <c r="D26" s="51">
        <f t="shared" si="1"/>
        <v>909.5838906764036</v>
      </c>
      <c r="E26" s="50">
        <f t="shared" si="2"/>
        <v>1074.6848321773307</v>
      </c>
      <c r="F26" s="51">
        <f t="shared" si="3"/>
        <v>1081.5640380732025</v>
      </c>
      <c r="G26" s="50">
        <f t="shared" si="4"/>
        <v>1216.8550873586846</v>
      </c>
      <c r="H26" s="51">
        <f t="shared" si="5"/>
        <v>1383.4847412809163</v>
      </c>
      <c r="I26" s="50">
        <f t="shared" si="6"/>
        <v>1640.3084280601363</v>
      </c>
      <c r="J26" s="51">
        <f t="shared" si="7"/>
        <v>1968.2172424300331</v>
      </c>
      <c r="K26" s="50">
        <f t="shared" si="8"/>
        <v>2415.3656256617105</v>
      </c>
      <c r="L26" s="52">
        <f>5225201/B2</f>
        <v>2698.591105579284</v>
      </c>
      <c r="M26" s="26" t="s">
        <v>32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5" x14ac:dyDescent="0.2">
      <c r="A27" s="22">
        <v>17</v>
      </c>
      <c r="B27" s="23" t="s">
        <v>73</v>
      </c>
      <c r="C27" s="50">
        <f t="shared" si="0"/>
        <v>753.33502042587043</v>
      </c>
      <c r="D27" s="51">
        <f t="shared" si="1"/>
        <v>928.02140197389826</v>
      </c>
      <c r="E27" s="50">
        <f t="shared" si="2"/>
        <v>1096.4689841809252</v>
      </c>
      <c r="F27" s="51">
        <f t="shared" si="3"/>
        <v>1103.4876334395512</v>
      </c>
      <c r="G27" s="50">
        <f t="shared" si="4"/>
        <v>1241.5210688591983</v>
      </c>
      <c r="H27" s="51">
        <f t="shared" si="5"/>
        <v>1411.5283509014755</v>
      </c>
      <c r="I27" s="50">
        <f t="shared" si="6"/>
        <v>1673.5579232235175</v>
      </c>
      <c r="J27" s="51">
        <f t="shared" si="7"/>
        <v>2008.1135378846959</v>
      </c>
      <c r="K27" s="50">
        <f t="shared" si="8"/>
        <v>2464.3257396953936</v>
      </c>
      <c r="L27" s="52">
        <f>5298588/B2</f>
        <v>2736.4923280327639</v>
      </c>
      <c r="M27" s="26" t="s">
        <v>33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15" x14ac:dyDescent="0.2">
      <c r="A28" s="22">
        <v>18</v>
      </c>
      <c r="B28" s="23" t="s">
        <v>74</v>
      </c>
      <c r="C28" s="50">
        <f t="shared" si="0"/>
        <v>768.30194136148361</v>
      </c>
      <c r="D28" s="51">
        <f t="shared" si="1"/>
        <v>946.45891327139293</v>
      </c>
      <c r="E28" s="50">
        <f t="shared" si="2"/>
        <v>1118.2531361845197</v>
      </c>
      <c r="F28" s="51">
        <f t="shared" si="3"/>
        <v>1125.4112288059</v>
      </c>
      <c r="G28" s="50">
        <f t="shared" si="4"/>
        <v>1266.1870503597124</v>
      </c>
      <c r="H28" s="51">
        <f t="shared" si="5"/>
        <v>1439.5719605220347</v>
      </c>
      <c r="I28" s="50">
        <f t="shared" si="6"/>
        <v>1706.8074183868985</v>
      </c>
      <c r="J28" s="51">
        <f t="shared" si="7"/>
        <v>2048.0098333393589</v>
      </c>
      <c r="K28" s="50">
        <f t="shared" si="8"/>
        <v>2513.2858537290772</v>
      </c>
      <c r="L28" s="52">
        <f>5371976/B2</f>
        <v>2774.3940669431431</v>
      </c>
      <c r="M28" s="26" t="s">
        <v>34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5" x14ac:dyDescent="0.2">
      <c r="A29" s="22">
        <v>19</v>
      </c>
      <c r="B29" s="23" t="s">
        <v>75</v>
      </c>
      <c r="C29" s="50">
        <f t="shared" si="0"/>
        <v>783.26886229709703</v>
      </c>
      <c r="D29" s="51">
        <f t="shared" si="1"/>
        <v>964.8964245688876</v>
      </c>
      <c r="E29" s="50">
        <f t="shared" si="2"/>
        <v>1140.0372881881142</v>
      </c>
      <c r="F29" s="51">
        <f t="shared" si="3"/>
        <v>1147.3348241722488</v>
      </c>
      <c r="G29" s="50">
        <f t="shared" si="4"/>
        <v>1290.8530318602261</v>
      </c>
      <c r="H29" s="51">
        <f t="shared" si="5"/>
        <v>1467.6155701425937</v>
      </c>
      <c r="I29" s="50">
        <f t="shared" si="6"/>
        <v>1740.0569135502797</v>
      </c>
      <c r="J29" s="51">
        <f t="shared" si="7"/>
        <v>2087.9061287940217</v>
      </c>
      <c r="K29" s="50">
        <f t="shared" si="8"/>
        <v>2562.2459677627603</v>
      </c>
      <c r="L29" s="52">
        <f>5445364/B2</f>
        <v>2812.2958058535223</v>
      </c>
      <c r="M29" s="26" t="s">
        <v>35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15" x14ac:dyDescent="0.2">
      <c r="A30" s="22">
        <v>20</v>
      </c>
      <c r="B30" s="23" t="s">
        <v>76</v>
      </c>
      <c r="C30" s="50">
        <f t="shared" si="0"/>
        <v>798.23578323271033</v>
      </c>
      <c r="D30" s="51">
        <f t="shared" si="1"/>
        <v>983.33393586638226</v>
      </c>
      <c r="E30" s="50">
        <f t="shared" si="2"/>
        <v>1161.8214401917089</v>
      </c>
      <c r="F30" s="51">
        <f t="shared" si="3"/>
        <v>1169.2584195385975</v>
      </c>
      <c r="G30" s="50">
        <f t="shared" si="4"/>
        <v>1315.51901336074</v>
      </c>
      <c r="H30" s="51">
        <f t="shared" si="5"/>
        <v>1495.6591797631527</v>
      </c>
      <c r="I30" s="50">
        <f t="shared" si="6"/>
        <v>1773.3064087136609</v>
      </c>
      <c r="J30" s="51">
        <f t="shared" si="7"/>
        <v>2127.8024242486845</v>
      </c>
      <c r="K30" s="50">
        <f t="shared" si="8"/>
        <v>2611.2060817964439</v>
      </c>
      <c r="L30" s="52">
        <f>5518751/B2</f>
        <v>2850.1970283070027</v>
      </c>
      <c r="M30" s="26" t="s">
        <v>36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15" x14ac:dyDescent="0.2">
      <c r="A31" s="22">
        <v>21</v>
      </c>
      <c r="B31" s="23" t="s">
        <v>77</v>
      </c>
      <c r="C31" s="50">
        <f t="shared" si="0"/>
        <v>813.20270416832363</v>
      </c>
      <c r="D31" s="51">
        <f t="shared" si="1"/>
        <v>1001.7714471638769</v>
      </c>
      <c r="E31" s="50">
        <f t="shared" si="2"/>
        <v>1183.6055921953034</v>
      </c>
      <c r="F31" s="51">
        <f t="shared" si="3"/>
        <v>1191.1820149049461</v>
      </c>
      <c r="G31" s="50">
        <f t="shared" si="4"/>
        <v>1340.1849948612539</v>
      </c>
      <c r="H31" s="51">
        <f t="shared" si="5"/>
        <v>1523.7027893837119</v>
      </c>
      <c r="I31" s="50">
        <f t="shared" si="6"/>
        <v>1806.5559038770421</v>
      </c>
      <c r="J31" s="51">
        <f t="shared" si="7"/>
        <v>2167.6987197033473</v>
      </c>
      <c r="K31" s="50">
        <f t="shared" si="8"/>
        <v>2660.166195830127</v>
      </c>
      <c r="L31" s="52">
        <f>5592139/B2</f>
        <v>2888.0987672173819</v>
      </c>
      <c r="M31" s="26" t="s">
        <v>37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15" x14ac:dyDescent="0.2">
      <c r="A32" s="22">
        <v>22</v>
      </c>
      <c r="B32" s="23" t="s">
        <v>78</v>
      </c>
      <c r="C32" s="50">
        <f t="shared" si="0"/>
        <v>828.16962510393694</v>
      </c>
      <c r="D32" s="51">
        <f t="shared" si="1"/>
        <v>1020.2089584613716</v>
      </c>
      <c r="E32" s="50">
        <f t="shared" si="2"/>
        <v>1205.3897441988979</v>
      </c>
      <c r="F32" s="51">
        <f t="shared" si="3"/>
        <v>1213.1056102712948</v>
      </c>
      <c r="G32" s="50">
        <f t="shared" si="4"/>
        <v>1364.8509763617678</v>
      </c>
      <c r="H32" s="51">
        <f t="shared" si="5"/>
        <v>1551.7463990042711</v>
      </c>
      <c r="I32" s="50">
        <f t="shared" si="6"/>
        <v>1839.8053990404233</v>
      </c>
      <c r="J32" s="51">
        <f t="shared" si="7"/>
        <v>2207.59501515801</v>
      </c>
      <c r="K32" s="50">
        <f t="shared" si="8"/>
        <v>2709.1263098638101</v>
      </c>
      <c r="L32" s="52">
        <f>5665527/B2</f>
        <v>2926.0005061277611</v>
      </c>
      <c r="M32" s="26" t="s">
        <v>38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ht="15" x14ac:dyDescent="0.2">
      <c r="A33" s="22">
        <v>23</v>
      </c>
      <c r="B33" s="23" t="s">
        <v>79</v>
      </c>
      <c r="C33" s="50">
        <f t="shared" si="0"/>
        <v>843.13654603955024</v>
      </c>
      <c r="D33" s="51">
        <f t="shared" si="1"/>
        <v>1038.6464697588663</v>
      </c>
      <c r="E33" s="50">
        <f t="shared" si="2"/>
        <v>1227.1738962024924</v>
      </c>
      <c r="F33" s="51">
        <f t="shared" si="3"/>
        <v>1235.0292056376434</v>
      </c>
      <c r="G33" s="50">
        <f t="shared" si="4"/>
        <v>1389.5169578622817</v>
      </c>
      <c r="H33" s="51">
        <f t="shared" si="5"/>
        <v>1579.7900086248301</v>
      </c>
      <c r="I33" s="50">
        <f t="shared" si="6"/>
        <v>1873.0548942038042</v>
      </c>
      <c r="J33" s="51">
        <f t="shared" si="7"/>
        <v>2247.4913106126733</v>
      </c>
      <c r="K33" s="50">
        <f t="shared" si="8"/>
        <v>2758.0864238974937</v>
      </c>
      <c r="L33" s="52">
        <f>5738914/B2</f>
        <v>2963.9017285812411</v>
      </c>
      <c r="M33" s="26" t="s">
        <v>39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ht="15" x14ac:dyDescent="0.2">
      <c r="A34" s="22">
        <v>24</v>
      </c>
      <c r="B34" s="23" t="s">
        <v>80</v>
      </c>
      <c r="C34" s="50">
        <f t="shared" si="0"/>
        <v>858.10346697516366</v>
      </c>
      <c r="D34" s="51">
        <f t="shared" si="1"/>
        <v>1057.0839810563609</v>
      </c>
      <c r="E34" s="50">
        <f t="shared" si="2"/>
        <v>1248.9580482060869</v>
      </c>
      <c r="F34" s="51">
        <f t="shared" si="3"/>
        <v>1256.9528010039921</v>
      </c>
      <c r="G34" s="50">
        <f t="shared" si="4"/>
        <v>1414.1829393627954</v>
      </c>
      <c r="H34" s="51">
        <f t="shared" si="5"/>
        <v>1607.8336182453893</v>
      </c>
      <c r="I34" s="50">
        <f t="shared" si="6"/>
        <v>1906.3043893671854</v>
      </c>
      <c r="J34" s="51">
        <f t="shared" si="7"/>
        <v>2287.3876060673356</v>
      </c>
      <c r="K34" s="50">
        <f t="shared" si="8"/>
        <v>2807.0465379311772</v>
      </c>
      <c r="L34" s="52">
        <f>5812302/B2</f>
        <v>3001.8034674916207</v>
      </c>
      <c r="M34" s="26" t="s">
        <v>40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ht="15" x14ac:dyDescent="0.2">
      <c r="A35" s="22">
        <v>25</v>
      </c>
      <c r="B35" s="23" t="s">
        <v>81</v>
      </c>
      <c r="C35" s="50">
        <f t="shared" si="0"/>
        <v>873.07038791077684</v>
      </c>
      <c r="D35" s="51">
        <f t="shared" si="1"/>
        <v>1075.5214923538556</v>
      </c>
      <c r="E35" s="50">
        <f t="shared" si="2"/>
        <v>1270.7422002096814</v>
      </c>
      <c r="F35" s="51">
        <f t="shared" si="3"/>
        <v>1278.8763963703409</v>
      </c>
      <c r="G35" s="50">
        <f t="shared" si="4"/>
        <v>1438.8489208633096</v>
      </c>
      <c r="H35" s="51">
        <f t="shared" si="5"/>
        <v>1635.8772278659485</v>
      </c>
      <c r="I35" s="50">
        <f t="shared" si="6"/>
        <v>1939.5538845305666</v>
      </c>
      <c r="J35" s="51">
        <f t="shared" si="7"/>
        <v>2327.2839015219988</v>
      </c>
      <c r="K35" s="50">
        <f t="shared" si="8"/>
        <v>2856.0066519648603</v>
      </c>
      <c r="L35" s="52">
        <f>5885690/B2</f>
        <v>3039.7052064019999</v>
      </c>
      <c r="M35" s="26" t="s">
        <v>43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</sheetData>
  <printOptions horizontalCentered="1" verticalCentered="1"/>
  <pageMargins left="0.39374999999999999" right="0.39374999999999999" top="0.78749999999999998" bottom="0.196527777777778" header="0.51180555555555496" footer="0.51180555555555496"/>
  <pageSetup paperSize="0" scale="0" firstPageNumber="0" orientation="portrait" usePrinterDefaults="0" horizontalDpi="0" verticalDpi="0" copies="0"/>
  <headerFooter>
    <oddHeader>&amp;C&amp;"Comic Sans MS,Fett"Gehaltstabellen von 01.02.1994 bis 31.12.1994 / Tabelle stipendiali dal 01.02.1994  bis 31.12.1994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zoomScaleNormal="100" workbookViewId="0"/>
  </sheetViews>
  <sheetFormatPr baseColWidth="10" defaultColWidth="9.140625" defaultRowHeight="12.75" x14ac:dyDescent="0.2"/>
  <cols>
    <col min="1" max="1" width="23"/>
    <col min="2" max="2" width="13.140625"/>
    <col min="3" max="5" width="11.5703125"/>
    <col min="6" max="6" width="12.5703125"/>
    <col min="7" max="7" width="12.7109375"/>
    <col min="8" max="9" width="11.5703125"/>
    <col min="10" max="11" width="12.5703125"/>
    <col min="12" max="12" width="7.28515625"/>
    <col min="13" max="13" width="11.28515625"/>
    <col min="14" max="14" width="11"/>
    <col min="15" max="256" width="11.28515625"/>
    <col min="257" max="1025" width="11.5703125"/>
  </cols>
  <sheetData>
    <row r="1" spans="1:256" x14ac:dyDescent="0.2">
      <c r="A1" s="53"/>
      <c r="B1" s="54"/>
      <c r="C1" s="55"/>
      <c r="D1" s="54"/>
      <c r="E1" s="55"/>
      <c r="F1" s="54"/>
      <c r="G1" s="55"/>
      <c r="H1" s="54"/>
      <c r="I1" s="55"/>
      <c r="J1" s="54"/>
      <c r="K1" s="53"/>
      <c r="L1" s="53"/>
      <c r="M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x14ac:dyDescent="0.25">
      <c r="A2" s="39"/>
      <c r="B2" s="9" t="s">
        <v>44</v>
      </c>
      <c r="C2" s="40" t="s">
        <v>45</v>
      </c>
      <c r="D2" s="9" t="s">
        <v>46</v>
      </c>
      <c r="E2" s="40" t="s">
        <v>47</v>
      </c>
      <c r="F2" s="9" t="s">
        <v>48</v>
      </c>
      <c r="G2" s="40" t="s">
        <v>49</v>
      </c>
      <c r="H2" s="9" t="s">
        <v>50</v>
      </c>
      <c r="I2" s="40" t="s">
        <v>51</v>
      </c>
      <c r="J2" s="9" t="s">
        <v>52</v>
      </c>
      <c r="K2" s="56" t="s">
        <v>9</v>
      </c>
      <c r="L2" s="57"/>
      <c r="M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" x14ac:dyDescent="0.2">
      <c r="A3" s="13" t="s">
        <v>10</v>
      </c>
      <c r="B3" s="14"/>
      <c r="C3" s="15"/>
      <c r="D3" s="14"/>
      <c r="E3" s="15"/>
      <c r="F3" s="14"/>
      <c r="G3" s="15"/>
      <c r="H3" s="14"/>
      <c r="I3" s="15"/>
      <c r="J3" s="14"/>
      <c r="K3" s="31"/>
      <c r="L3" s="12"/>
      <c r="M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15.75" x14ac:dyDescent="0.25">
      <c r="A4" s="18" t="s">
        <v>11</v>
      </c>
      <c r="B4" s="19">
        <v>773875</v>
      </c>
      <c r="C4" s="20">
        <v>952225</v>
      </c>
      <c r="D4" s="19">
        <v>1110075</v>
      </c>
      <c r="E4" s="20">
        <v>1117250</v>
      </c>
      <c r="F4" s="19">
        <v>1257675</v>
      </c>
      <c r="G4" s="20">
        <v>1403225</v>
      </c>
      <c r="H4" s="19">
        <v>1664600</v>
      </c>
      <c r="I4" s="20">
        <v>2033600</v>
      </c>
      <c r="J4" s="19">
        <v>2429250</v>
      </c>
      <c r="K4" s="41">
        <v>3008894</v>
      </c>
      <c r="L4" s="58" t="s">
        <v>12</v>
      </c>
      <c r="M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15" x14ac:dyDescent="0.2">
      <c r="A5" s="23" t="s">
        <v>53</v>
      </c>
      <c r="B5" s="24">
        <f t="shared" ref="B5:J5" si="0">(B4*0.06*1)+B4</f>
        <v>820307.5</v>
      </c>
      <c r="C5" s="25">
        <f t="shared" si="0"/>
        <v>1009358.5</v>
      </c>
      <c r="D5" s="24">
        <f t="shared" si="0"/>
        <v>1176679.5</v>
      </c>
      <c r="E5" s="25">
        <f t="shared" si="0"/>
        <v>1184285</v>
      </c>
      <c r="F5" s="24">
        <f t="shared" si="0"/>
        <v>1333135.5</v>
      </c>
      <c r="G5" s="25">
        <f t="shared" si="0"/>
        <v>1487418.5</v>
      </c>
      <c r="H5" s="24">
        <f t="shared" si="0"/>
        <v>1764476</v>
      </c>
      <c r="I5" s="25">
        <f t="shared" si="0"/>
        <v>2155616</v>
      </c>
      <c r="J5" s="24">
        <f t="shared" si="0"/>
        <v>2575005</v>
      </c>
      <c r="K5" s="42">
        <v>3189427</v>
      </c>
      <c r="L5" s="59" t="s">
        <v>13</v>
      </c>
      <c r="M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15" x14ac:dyDescent="0.2">
      <c r="A6" s="23" t="s">
        <v>54</v>
      </c>
      <c r="B6" s="24">
        <f t="shared" ref="B6:J6" si="1">(B4*0.06*2)+B4</f>
        <v>866740</v>
      </c>
      <c r="C6" s="25">
        <f t="shared" si="1"/>
        <v>1066492</v>
      </c>
      <c r="D6" s="24">
        <f t="shared" si="1"/>
        <v>1243284</v>
      </c>
      <c r="E6" s="25">
        <f t="shared" si="1"/>
        <v>1251320</v>
      </c>
      <c r="F6" s="24">
        <f t="shared" si="1"/>
        <v>1408596</v>
      </c>
      <c r="G6" s="25">
        <f t="shared" si="1"/>
        <v>1571612</v>
      </c>
      <c r="H6" s="24">
        <f t="shared" si="1"/>
        <v>1864352</v>
      </c>
      <c r="I6" s="25">
        <f t="shared" si="1"/>
        <v>2277632</v>
      </c>
      <c r="J6" s="24">
        <f t="shared" si="1"/>
        <v>2720760</v>
      </c>
      <c r="K6" s="42">
        <v>3369961</v>
      </c>
      <c r="L6" s="59" t="s">
        <v>14</v>
      </c>
      <c r="M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15" x14ac:dyDescent="0.2">
      <c r="A7" s="23" t="s">
        <v>55</v>
      </c>
      <c r="B7" s="24">
        <f t="shared" ref="B7:J7" si="2">(B4*0.06*3)+B4</f>
        <v>913172.5</v>
      </c>
      <c r="C7" s="25">
        <f t="shared" si="2"/>
        <v>1123625.5</v>
      </c>
      <c r="D7" s="24">
        <f t="shared" si="2"/>
        <v>1309888.5</v>
      </c>
      <c r="E7" s="25">
        <f t="shared" si="2"/>
        <v>1318355</v>
      </c>
      <c r="F7" s="24">
        <f t="shared" si="2"/>
        <v>1484056.5</v>
      </c>
      <c r="G7" s="25">
        <f t="shared" si="2"/>
        <v>1655805.5</v>
      </c>
      <c r="H7" s="24">
        <f t="shared" si="2"/>
        <v>1964228</v>
      </c>
      <c r="I7" s="25">
        <f t="shared" si="2"/>
        <v>2399648</v>
      </c>
      <c r="J7" s="24">
        <f t="shared" si="2"/>
        <v>2866515</v>
      </c>
      <c r="K7" s="42">
        <v>3550495</v>
      </c>
      <c r="L7" s="59" t="s">
        <v>15</v>
      </c>
      <c r="M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ht="15" x14ac:dyDescent="0.2">
      <c r="A8" s="22"/>
      <c r="B8" s="37"/>
      <c r="C8" s="38"/>
      <c r="D8" s="37"/>
      <c r="E8" s="38"/>
      <c r="F8" s="37"/>
      <c r="G8" s="38"/>
      <c r="H8" s="37"/>
      <c r="I8" s="38"/>
      <c r="J8" s="37"/>
      <c r="K8" s="60"/>
      <c r="L8" s="61"/>
      <c r="M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ht="15" x14ac:dyDescent="0.2">
      <c r="A9" s="12" t="s">
        <v>56</v>
      </c>
      <c r="B9" s="44"/>
      <c r="C9" s="45"/>
      <c r="D9" s="44"/>
      <c r="E9" s="45"/>
      <c r="F9" s="44"/>
      <c r="G9" s="45"/>
      <c r="H9" s="44"/>
      <c r="I9" s="45"/>
      <c r="J9" s="44"/>
      <c r="K9" s="31"/>
      <c r="L9" s="62"/>
      <c r="M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spans="1:256" ht="15.75" x14ac:dyDescent="0.25">
      <c r="A10" s="18" t="s">
        <v>11</v>
      </c>
      <c r="B10" s="19">
        <v>990150</v>
      </c>
      <c r="C10" s="20">
        <v>1219750</v>
      </c>
      <c r="D10" s="19">
        <v>1441150</v>
      </c>
      <c r="E10" s="20">
        <v>1450375</v>
      </c>
      <c r="F10" s="19">
        <v>1631800</v>
      </c>
      <c r="G10" s="20">
        <v>1855250</v>
      </c>
      <c r="H10" s="19">
        <v>2199650</v>
      </c>
      <c r="I10" s="20">
        <v>2639375</v>
      </c>
      <c r="J10" s="19">
        <v>3239000</v>
      </c>
      <c r="K10" s="41">
        <v>3731028</v>
      </c>
      <c r="L10" s="59" t="s">
        <v>16</v>
      </c>
      <c r="M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ht="15" x14ac:dyDescent="0.2">
      <c r="A11" s="23" t="s">
        <v>57</v>
      </c>
      <c r="B11" s="24">
        <f t="shared" ref="B11:J11" si="3">(B10*0.03*1)+B10</f>
        <v>1019854.5</v>
      </c>
      <c r="C11" s="25">
        <f t="shared" si="3"/>
        <v>1256342.5</v>
      </c>
      <c r="D11" s="24">
        <f t="shared" si="3"/>
        <v>1484384.5</v>
      </c>
      <c r="E11" s="25">
        <f t="shared" si="3"/>
        <v>1493886.25</v>
      </c>
      <c r="F11" s="24">
        <f t="shared" si="3"/>
        <v>1680754</v>
      </c>
      <c r="G11" s="25">
        <f t="shared" si="3"/>
        <v>1910907.5</v>
      </c>
      <c r="H11" s="24">
        <f t="shared" si="3"/>
        <v>2265639.5</v>
      </c>
      <c r="I11" s="25">
        <f t="shared" si="3"/>
        <v>2718556.25</v>
      </c>
      <c r="J11" s="24">
        <f t="shared" si="3"/>
        <v>3336170</v>
      </c>
      <c r="K11" s="42">
        <v>3911562</v>
      </c>
      <c r="L11" s="59" t="s">
        <v>17</v>
      </c>
      <c r="M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" x14ac:dyDescent="0.2">
      <c r="A12" s="23" t="s">
        <v>58</v>
      </c>
      <c r="B12" s="24">
        <f t="shared" ref="B12:J12" si="4">(B10*0.03*2)+B10</f>
        <v>1049559</v>
      </c>
      <c r="C12" s="25">
        <f t="shared" si="4"/>
        <v>1292935</v>
      </c>
      <c r="D12" s="24">
        <f t="shared" si="4"/>
        <v>1527619</v>
      </c>
      <c r="E12" s="25">
        <f t="shared" si="4"/>
        <v>1537397.5</v>
      </c>
      <c r="F12" s="24">
        <f t="shared" si="4"/>
        <v>1729708</v>
      </c>
      <c r="G12" s="25">
        <f t="shared" si="4"/>
        <v>1966565</v>
      </c>
      <c r="H12" s="24">
        <f t="shared" si="4"/>
        <v>2331629</v>
      </c>
      <c r="I12" s="25">
        <f t="shared" si="4"/>
        <v>2797737.5</v>
      </c>
      <c r="J12" s="24">
        <f t="shared" si="4"/>
        <v>3433340</v>
      </c>
      <c r="K12" s="42">
        <v>4092095</v>
      </c>
      <c r="L12" s="59" t="s">
        <v>18</v>
      </c>
      <c r="M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ht="15" x14ac:dyDescent="0.2">
      <c r="A13" s="23" t="s">
        <v>59</v>
      </c>
      <c r="B13" s="24">
        <f t="shared" ref="B13:J13" si="5">(B10*0.03*3)+B10</f>
        <v>1079263.5</v>
      </c>
      <c r="C13" s="25">
        <f t="shared" si="5"/>
        <v>1329527.5</v>
      </c>
      <c r="D13" s="24">
        <f t="shared" si="5"/>
        <v>1570853.5</v>
      </c>
      <c r="E13" s="25">
        <f t="shared" si="5"/>
        <v>1580908.75</v>
      </c>
      <c r="F13" s="24">
        <f t="shared" si="5"/>
        <v>1778662</v>
      </c>
      <c r="G13" s="25">
        <f t="shared" si="5"/>
        <v>2022222.5</v>
      </c>
      <c r="H13" s="24">
        <f t="shared" si="5"/>
        <v>2397618.5</v>
      </c>
      <c r="I13" s="25">
        <f t="shared" si="5"/>
        <v>2876918.75</v>
      </c>
      <c r="J13" s="24">
        <f t="shared" si="5"/>
        <v>3530510</v>
      </c>
      <c r="K13" s="42">
        <v>4272629</v>
      </c>
      <c r="L13" s="59" t="s">
        <v>19</v>
      </c>
      <c r="M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15" x14ac:dyDescent="0.2">
      <c r="A14" s="23" t="s">
        <v>60</v>
      </c>
      <c r="B14" s="24">
        <f t="shared" ref="B14:J14" si="6">(B10*0.03*4)+B10</f>
        <v>1108968</v>
      </c>
      <c r="C14" s="25">
        <f t="shared" si="6"/>
        <v>1366120</v>
      </c>
      <c r="D14" s="24">
        <f t="shared" si="6"/>
        <v>1614088</v>
      </c>
      <c r="E14" s="25">
        <f t="shared" si="6"/>
        <v>1624420</v>
      </c>
      <c r="F14" s="24">
        <f t="shared" si="6"/>
        <v>1827616</v>
      </c>
      <c r="G14" s="25">
        <f t="shared" si="6"/>
        <v>2077880</v>
      </c>
      <c r="H14" s="24">
        <f t="shared" si="6"/>
        <v>2463608</v>
      </c>
      <c r="I14" s="25">
        <f t="shared" si="6"/>
        <v>2956100</v>
      </c>
      <c r="J14" s="24">
        <f t="shared" si="6"/>
        <v>3627680</v>
      </c>
      <c r="K14" s="42">
        <v>4453163</v>
      </c>
      <c r="L14" s="59" t="s">
        <v>20</v>
      </c>
      <c r="M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5" x14ac:dyDescent="0.2">
      <c r="A15" s="23" t="s">
        <v>61</v>
      </c>
      <c r="B15" s="24">
        <f t="shared" ref="B15:J15" si="7">(B10*0.03*5)+B10</f>
        <v>1138672.5</v>
      </c>
      <c r="C15" s="25">
        <f t="shared" si="7"/>
        <v>1402712.5</v>
      </c>
      <c r="D15" s="24">
        <f t="shared" si="7"/>
        <v>1657322.5</v>
      </c>
      <c r="E15" s="25">
        <f t="shared" si="7"/>
        <v>1667931.25</v>
      </c>
      <c r="F15" s="24">
        <f t="shared" si="7"/>
        <v>1876570</v>
      </c>
      <c r="G15" s="25">
        <f t="shared" si="7"/>
        <v>2133537.5</v>
      </c>
      <c r="H15" s="24">
        <f t="shared" si="7"/>
        <v>2529597.5</v>
      </c>
      <c r="I15" s="25">
        <f t="shared" si="7"/>
        <v>3035281.25</v>
      </c>
      <c r="J15" s="24">
        <f t="shared" si="7"/>
        <v>3724850</v>
      </c>
      <c r="K15" s="42">
        <v>4528385</v>
      </c>
      <c r="L15" s="59" t="s">
        <v>21</v>
      </c>
      <c r="M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15" x14ac:dyDescent="0.2">
      <c r="A16" s="23" t="s">
        <v>62</v>
      </c>
      <c r="B16" s="24">
        <f t="shared" ref="B16:J16" si="8">(B10*0.03*6)+B10</f>
        <v>1168377</v>
      </c>
      <c r="C16" s="25">
        <f t="shared" si="8"/>
        <v>1439305</v>
      </c>
      <c r="D16" s="24">
        <f t="shared" si="8"/>
        <v>1700557</v>
      </c>
      <c r="E16" s="25">
        <f t="shared" si="8"/>
        <v>1711442.5</v>
      </c>
      <c r="F16" s="24">
        <f t="shared" si="8"/>
        <v>1925524</v>
      </c>
      <c r="G16" s="25">
        <f t="shared" si="8"/>
        <v>2189195</v>
      </c>
      <c r="H16" s="24">
        <f t="shared" si="8"/>
        <v>2595587</v>
      </c>
      <c r="I16" s="25">
        <f t="shared" si="8"/>
        <v>3114462.5</v>
      </c>
      <c r="J16" s="24">
        <f t="shared" si="8"/>
        <v>3822020</v>
      </c>
      <c r="K16" s="42">
        <v>4603607</v>
      </c>
      <c r="L16" s="59" t="s">
        <v>82</v>
      </c>
      <c r="M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5" x14ac:dyDescent="0.2">
      <c r="A17" s="23" t="s">
        <v>63</v>
      </c>
      <c r="B17" s="24">
        <f t="shared" ref="B17:J17" si="9">(B10*0.03*7)+B10</f>
        <v>1198081.5</v>
      </c>
      <c r="C17" s="25">
        <f t="shared" si="9"/>
        <v>1475897.5</v>
      </c>
      <c r="D17" s="24">
        <f t="shared" si="9"/>
        <v>1743791.5</v>
      </c>
      <c r="E17" s="25">
        <f t="shared" si="9"/>
        <v>1754953.75</v>
      </c>
      <c r="F17" s="24">
        <f t="shared" si="9"/>
        <v>1974478</v>
      </c>
      <c r="G17" s="25">
        <f t="shared" si="9"/>
        <v>2244852.5</v>
      </c>
      <c r="H17" s="24">
        <f t="shared" si="9"/>
        <v>2661576.5</v>
      </c>
      <c r="I17" s="25">
        <f t="shared" si="9"/>
        <v>3193643.75</v>
      </c>
      <c r="J17" s="24">
        <f t="shared" si="9"/>
        <v>3919190</v>
      </c>
      <c r="K17" s="42">
        <v>4678830</v>
      </c>
      <c r="L17" s="59" t="s">
        <v>23</v>
      </c>
      <c r="M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5" x14ac:dyDescent="0.2">
      <c r="A18" s="23" t="s">
        <v>64</v>
      </c>
      <c r="B18" s="24">
        <f t="shared" ref="B18:J18" si="10">(B10*0.03*8)+B10</f>
        <v>1227786</v>
      </c>
      <c r="C18" s="25">
        <f t="shared" si="10"/>
        <v>1512490</v>
      </c>
      <c r="D18" s="24">
        <f t="shared" si="10"/>
        <v>1787026</v>
      </c>
      <c r="E18" s="25">
        <f t="shared" si="10"/>
        <v>1798465</v>
      </c>
      <c r="F18" s="24">
        <f t="shared" si="10"/>
        <v>2023432</v>
      </c>
      <c r="G18" s="25">
        <f t="shared" si="10"/>
        <v>2300510</v>
      </c>
      <c r="H18" s="24">
        <f t="shared" si="10"/>
        <v>2727566</v>
      </c>
      <c r="I18" s="25">
        <f t="shared" si="10"/>
        <v>3272825</v>
      </c>
      <c r="J18" s="24">
        <f t="shared" si="10"/>
        <v>4016360</v>
      </c>
      <c r="K18" s="42">
        <v>4754052</v>
      </c>
      <c r="L18" s="59" t="s">
        <v>24</v>
      </c>
      <c r="M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15" x14ac:dyDescent="0.2">
      <c r="A19" s="23" t="s">
        <v>65</v>
      </c>
      <c r="B19" s="24">
        <f t="shared" ref="B19:J19" si="11">(B10*0.03*9)+B10</f>
        <v>1257490.5</v>
      </c>
      <c r="C19" s="25">
        <f t="shared" si="11"/>
        <v>1549082.5</v>
      </c>
      <c r="D19" s="24">
        <f t="shared" si="11"/>
        <v>1830260.5</v>
      </c>
      <c r="E19" s="25">
        <f t="shared" si="11"/>
        <v>1841976.25</v>
      </c>
      <c r="F19" s="24">
        <f t="shared" si="11"/>
        <v>2072386</v>
      </c>
      <c r="G19" s="25">
        <f t="shared" si="11"/>
        <v>2356167.5</v>
      </c>
      <c r="H19" s="24">
        <f t="shared" si="11"/>
        <v>2793555.5</v>
      </c>
      <c r="I19" s="25">
        <f t="shared" si="11"/>
        <v>3352006.25</v>
      </c>
      <c r="J19" s="24">
        <f t="shared" si="11"/>
        <v>4113530</v>
      </c>
      <c r="K19" s="42">
        <v>4829274</v>
      </c>
      <c r="L19" s="59" t="s">
        <v>25</v>
      </c>
      <c r="M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15" x14ac:dyDescent="0.2">
      <c r="A20" s="23" t="s">
        <v>66</v>
      </c>
      <c r="B20" s="24">
        <f t="shared" ref="B20:J20" si="12">(B10*0.03*10)+B10</f>
        <v>1287195</v>
      </c>
      <c r="C20" s="25">
        <f t="shared" si="12"/>
        <v>1585675</v>
      </c>
      <c r="D20" s="24">
        <f t="shared" si="12"/>
        <v>1873495</v>
      </c>
      <c r="E20" s="25">
        <f t="shared" si="12"/>
        <v>1885487.5</v>
      </c>
      <c r="F20" s="24">
        <f t="shared" si="12"/>
        <v>2121340</v>
      </c>
      <c r="G20" s="25">
        <f t="shared" si="12"/>
        <v>2411825</v>
      </c>
      <c r="H20" s="24">
        <f t="shared" si="12"/>
        <v>2859545</v>
      </c>
      <c r="I20" s="25">
        <f t="shared" si="12"/>
        <v>3431187.5</v>
      </c>
      <c r="J20" s="24">
        <f t="shared" si="12"/>
        <v>4210700</v>
      </c>
      <c r="K20" s="42">
        <v>4904497</v>
      </c>
      <c r="L20" s="59" t="s">
        <v>26</v>
      </c>
      <c r="M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15" x14ac:dyDescent="0.2">
      <c r="A21" s="23" t="s">
        <v>67</v>
      </c>
      <c r="B21" s="24">
        <f t="shared" ref="B21:J21" si="13">(B10*0.03*11)+B10</f>
        <v>1316899.5</v>
      </c>
      <c r="C21" s="25">
        <f t="shared" si="13"/>
        <v>1622267.5</v>
      </c>
      <c r="D21" s="24">
        <f t="shared" si="13"/>
        <v>1916729.5</v>
      </c>
      <c r="E21" s="25">
        <f t="shared" si="13"/>
        <v>1928998.75</v>
      </c>
      <c r="F21" s="24">
        <f t="shared" si="13"/>
        <v>2170294</v>
      </c>
      <c r="G21" s="25">
        <f t="shared" si="13"/>
        <v>2467482.5</v>
      </c>
      <c r="H21" s="24">
        <f t="shared" si="13"/>
        <v>2925534.5</v>
      </c>
      <c r="I21" s="25">
        <f t="shared" si="13"/>
        <v>3510368.75</v>
      </c>
      <c r="J21" s="24">
        <f t="shared" si="13"/>
        <v>4307870</v>
      </c>
      <c r="K21" s="42">
        <v>4979719</v>
      </c>
      <c r="L21" s="59" t="s">
        <v>27</v>
      </c>
      <c r="M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15" x14ac:dyDescent="0.2">
      <c r="A22" s="23" t="s">
        <v>68</v>
      </c>
      <c r="B22" s="24">
        <f t="shared" ref="B22:J22" si="14">(B10*0.03*12)+B10</f>
        <v>1346604</v>
      </c>
      <c r="C22" s="25">
        <f t="shared" si="14"/>
        <v>1658860</v>
      </c>
      <c r="D22" s="24">
        <f t="shared" si="14"/>
        <v>1959964</v>
      </c>
      <c r="E22" s="25">
        <f t="shared" si="14"/>
        <v>1972510</v>
      </c>
      <c r="F22" s="24">
        <f t="shared" si="14"/>
        <v>2219248</v>
      </c>
      <c r="G22" s="25">
        <f t="shared" si="14"/>
        <v>2523140</v>
      </c>
      <c r="H22" s="24">
        <f t="shared" si="14"/>
        <v>2991524</v>
      </c>
      <c r="I22" s="25">
        <f t="shared" si="14"/>
        <v>3589550</v>
      </c>
      <c r="J22" s="24">
        <f t="shared" si="14"/>
        <v>4405040</v>
      </c>
      <c r="K22" s="42">
        <v>5054941</v>
      </c>
      <c r="L22" s="59" t="s">
        <v>28</v>
      </c>
      <c r="M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15" x14ac:dyDescent="0.2">
      <c r="A23" s="23" t="s">
        <v>69</v>
      </c>
      <c r="B23" s="24">
        <f t="shared" ref="B23:J23" si="15">(B10*0.03*13)+B10</f>
        <v>1376308.5</v>
      </c>
      <c r="C23" s="25">
        <f t="shared" si="15"/>
        <v>1695452.5</v>
      </c>
      <c r="D23" s="24">
        <f t="shared" si="15"/>
        <v>2003198.5</v>
      </c>
      <c r="E23" s="25">
        <f t="shared" si="15"/>
        <v>2016021.25</v>
      </c>
      <c r="F23" s="24">
        <f t="shared" si="15"/>
        <v>2268202</v>
      </c>
      <c r="G23" s="25">
        <f t="shared" si="15"/>
        <v>2578797.5</v>
      </c>
      <c r="H23" s="24">
        <f t="shared" si="15"/>
        <v>3057513.5</v>
      </c>
      <c r="I23" s="25">
        <f t="shared" si="15"/>
        <v>3668731.25</v>
      </c>
      <c r="J23" s="24">
        <f t="shared" si="15"/>
        <v>4502210</v>
      </c>
      <c r="K23" s="42">
        <v>5130164</v>
      </c>
      <c r="L23" s="59" t="s">
        <v>29</v>
      </c>
      <c r="M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15" x14ac:dyDescent="0.2">
      <c r="A24" s="23" t="s">
        <v>70</v>
      </c>
      <c r="B24" s="24">
        <f t="shared" ref="B24:J24" si="16">(B10*0.03*14)+B10</f>
        <v>1406013</v>
      </c>
      <c r="C24" s="25">
        <f t="shared" si="16"/>
        <v>1732045</v>
      </c>
      <c r="D24" s="24">
        <f t="shared" si="16"/>
        <v>2046433</v>
      </c>
      <c r="E24" s="25">
        <f t="shared" si="16"/>
        <v>2059532.5</v>
      </c>
      <c r="F24" s="24">
        <f t="shared" si="16"/>
        <v>2317156</v>
      </c>
      <c r="G24" s="25">
        <f t="shared" si="16"/>
        <v>2634455</v>
      </c>
      <c r="H24" s="24">
        <f t="shared" si="16"/>
        <v>3123503</v>
      </c>
      <c r="I24" s="25">
        <f t="shared" si="16"/>
        <v>3747912.5</v>
      </c>
      <c r="J24" s="24">
        <f t="shared" si="16"/>
        <v>4599380</v>
      </c>
      <c r="K24" s="42">
        <v>5205386</v>
      </c>
      <c r="L24" s="59" t="s">
        <v>30</v>
      </c>
      <c r="M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5" x14ac:dyDescent="0.2">
      <c r="A25" s="23" t="s">
        <v>71</v>
      </c>
      <c r="B25" s="24">
        <f t="shared" ref="B25:J25" si="17">(B10*0.03*15)+B10</f>
        <v>1435717.5</v>
      </c>
      <c r="C25" s="25">
        <f t="shared" si="17"/>
        <v>1768637.5</v>
      </c>
      <c r="D25" s="24">
        <f t="shared" si="17"/>
        <v>2089667.5</v>
      </c>
      <c r="E25" s="25">
        <f t="shared" si="17"/>
        <v>2103043.75</v>
      </c>
      <c r="F25" s="24">
        <f t="shared" si="17"/>
        <v>2366110</v>
      </c>
      <c r="G25" s="25">
        <f t="shared" si="17"/>
        <v>2690112.5</v>
      </c>
      <c r="H25" s="24">
        <f t="shared" si="17"/>
        <v>3189492.5</v>
      </c>
      <c r="I25" s="25">
        <f t="shared" si="17"/>
        <v>3827093.75</v>
      </c>
      <c r="J25" s="24">
        <f t="shared" si="17"/>
        <v>4696550</v>
      </c>
      <c r="K25" s="42">
        <v>5280608</v>
      </c>
      <c r="L25" s="59" t="s">
        <v>31</v>
      </c>
      <c r="M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15" x14ac:dyDescent="0.2">
      <c r="A26" s="23" t="s">
        <v>72</v>
      </c>
      <c r="B26" s="24">
        <f t="shared" ref="B26:J26" si="18">(B10*0.03*16)+B10</f>
        <v>1465422</v>
      </c>
      <c r="C26" s="25">
        <f t="shared" si="18"/>
        <v>1805230</v>
      </c>
      <c r="D26" s="24">
        <f t="shared" si="18"/>
        <v>2132902</v>
      </c>
      <c r="E26" s="25">
        <f t="shared" si="18"/>
        <v>2146555</v>
      </c>
      <c r="F26" s="24">
        <f t="shared" si="18"/>
        <v>2415064</v>
      </c>
      <c r="G26" s="25">
        <f t="shared" si="18"/>
        <v>2745770</v>
      </c>
      <c r="H26" s="24">
        <f t="shared" si="18"/>
        <v>3255482</v>
      </c>
      <c r="I26" s="25">
        <f t="shared" si="18"/>
        <v>3906275</v>
      </c>
      <c r="J26" s="24">
        <f t="shared" si="18"/>
        <v>4793720</v>
      </c>
      <c r="K26" s="42">
        <v>5355831</v>
      </c>
      <c r="L26" s="59" t="s">
        <v>32</v>
      </c>
      <c r="M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5" x14ac:dyDescent="0.2">
      <c r="A27" s="23" t="s">
        <v>73</v>
      </c>
      <c r="B27" s="24">
        <f t="shared" ref="B27:J27" si="19">(B10*0.03*17)+B10</f>
        <v>1495126.5</v>
      </c>
      <c r="C27" s="25">
        <f t="shared" si="19"/>
        <v>1841822.5</v>
      </c>
      <c r="D27" s="24">
        <f t="shared" si="19"/>
        <v>2176136.5</v>
      </c>
      <c r="E27" s="25">
        <f t="shared" si="19"/>
        <v>2190066.25</v>
      </c>
      <c r="F27" s="24">
        <f t="shared" si="19"/>
        <v>2464018</v>
      </c>
      <c r="G27" s="25">
        <f t="shared" si="19"/>
        <v>2801427.5</v>
      </c>
      <c r="H27" s="24">
        <f t="shared" si="19"/>
        <v>3321471.5</v>
      </c>
      <c r="I27" s="25">
        <f t="shared" si="19"/>
        <v>3985456.25</v>
      </c>
      <c r="J27" s="24">
        <f t="shared" si="19"/>
        <v>4890890</v>
      </c>
      <c r="K27" s="42">
        <v>5431053</v>
      </c>
      <c r="L27" s="59" t="s">
        <v>33</v>
      </c>
      <c r="M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15" x14ac:dyDescent="0.2">
      <c r="A28" s="23" t="s">
        <v>74</v>
      </c>
      <c r="B28" s="24">
        <f t="shared" ref="B28:J28" si="20">(B10*0.03*18)+B10</f>
        <v>1524831</v>
      </c>
      <c r="C28" s="25">
        <f t="shared" si="20"/>
        <v>1878415</v>
      </c>
      <c r="D28" s="24">
        <f t="shared" si="20"/>
        <v>2219371</v>
      </c>
      <c r="E28" s="25">
        <f t="shared" si="20"/>
        <v>2233577.5</v>
      </c>
      <c r="F28" s="24">
        <f t="shared" si="20"/>
        <v>2512972</v>
      </c>
      <c r="G28" s="25">
        <f t="shared" si="20"/>
        <v>2857085</v>
      </c>
      <c r="H28" s="24">
        <f t="shared" si="20"/>
        <v>3387461</v>
      </c>
      <c r="I28" s="25">
        <f t="shared" si="20"/>
        <v>4064637.5</v>
      </c>
      <c r="J28" s="24">
        <f t="shared" si="20"/>
        <v>4988060</v>
      </c>
      <c r="K28" s="42">
        <v>5506275</v>
      </c>
      <c r="L28" s="59" t="s">
        <v>83</v>
      </c>
      <c r="M28" s="63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5" x14ac:dyDescent="0.2">
      <c r="A29" s="23" t="s">
        <v>75</v>
      </c>
      <c r="B29" s="24">
        <f t="shared" ref="B29:J29" si="21">(B10*0.03*19)+B10</f>
        <v>1554535.5</v>
      </c>
      <c r="C29" s="25">
        <f t="shared" si="21"/>
        <v>1915007.5</v>
      </c>
      <c r="D29" s="24">
        <f t="shared" si="21"/>
        <v>2262605.5</v>
      </c>
      <c r="E29" s="25">
        <f t="shared" si="21"/>
        <v>2277088.75</v>
      </c>
      <c r="F29" s="24">
        <f t="shared" si="21"/>
        <v>2561926</v>
      </c>
      <c r="G29" s="25">
        <f t="shared" si="21"/>
        <v>2912742.5</v>
      </c>
      <c r="H29" s="24">
        <f t="shared" si="21"/>
        <v>3453450.5</v>
      </c>
      <c r="I29" s="25">
        <f t="shared" si="21"/>
        <v>4143818.75</v>
      </c>
      <c r="J29" s="24">
        <f t="shared" si="21"/>
        <v>5085230</v>
      </c>
      <c r="K29" s="42">
        <v>5581498</v>
      </c>
      <c r="L29" s="59" t="s">
        <v>35</v>
      </c>
      <c r="M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15" x14ac:dyDescent="0.2">
      <c r="A30" s="23" t="s">
        <v>76</v>
      </c>
      <c r="B30" s="24">
        <f t="shared" ref="B30:J30" si="22">(B10*0.03*20)+B10</f>
        <v>1584240</v>
      </c>
      <c r="C30" s="25">
        <f t="shared" si="22"/>
        <v>1951600</v>
      </c>
      <c r="D30" s="24">
        <f t="shared" si="22"/>
        <v>2305840</v>
      </c>
      <c r="E30" s="25">
        <f t="shared" si="22"/>
        <v>2320600</v>
      </c>
      <c r="F30" s="24">
        <f t="shared" si="22"/>
        <v>2610880</v>
      </c>
      <c r="G30" s="25">
        <f t="shared" si="22"/>
        <v>2968400</v>
      </c>
      <c r="H30" s="24">
        <f t="shared" si="22"/>
        <v>3519440</v>
      </c>
      <c r="I30" s="25">
        <f t="shared" si="22"/>
        <v>4223000</v>
      </c>
      <c r="J30" s="24">
        <f t="shared" si="22"/>
        <v>5182400</v>
      </c>
      <c r="K30" s="42">
        <v>5656720</v>
      </c>
      <c r="L30" s="59" t="s">
        <v>36</v>
      </c>
      <c r="M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15" x14ac:dyDescent="0.2">
      <c r="A31" s="23" t="s">
        <v>77</v>
      </c>
      <c r="B31" s="24">
        <f t="shared" ref="B31:J31" si="23">(B10*0.03*21)+B10</f>
        <v>1613944.5</v>
      </c>
      <c r="C31" s="25">
        <f t="shared" si="23"/>
        <v>1988192.5</v>
      </c>
      <c r="D31" s="24">
        <f t="shared" si="23"/>
        <v>2349074.5</v>
      </c>
      <c r="E31" s="25">
        <f t="shared" si="23"/>
        <v>2364111.25</v>
      </c>
      <c r="F31" s="24">
        <f t="shared" si="23"/>
        <v>2659834</v>
      </c>
      <c r="G31" s="25">
        <f t="shared" si="23"/>
        <v>3024057.5</v>
      </c>
      <c r="H31" s="24">
        <f t="shared" si="23"/>
        <v>3585429.5</v>
      </c>
      <c r="I31" s="25">
        <f t="shared" si="23"/>
        <v>4302181.25</v>
      </c>
      <c r="J31" s="24">
        <f t="shared" si="23"/>
        <v>5279570</v>
      </c>
      <c r="K31" s="42">
        <v>5731942</v>
      </c>
      <c r="L31" s="59" t="s">
        <v>37</v>
      </c>
      <c r="M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15" x14ac:dyDescent="0.2">
      <c r="A32" s="23" t="s">
        <v>78</v>
      </c>
      <c r="B32" s="24">
        <f t="shared" ref="B32:J32" si="24">(B10*0.03*22)+B10</f>
        <v>1643649</v>
      </c>
      <c r="C32" s="25">
        <f t="shared" si="24"/>
        <v>2024785</v>
      </c>
      <c r="D32" s="24">
        <f t="shared" si="24"/>
        <v>2392309</v>
      </c>
      <c r="E32" s="25">
        <f t="shared" si="24"/>
        <v>2407622.5</v>
      </c>
      <c r="F32" s="24">
        <f t="shared" si="24"/>
        <v>2708788</v>
      </c>
      <c r="G32" s="25">
        <f t="shared" si="24"/>
        <v>3079715</v>
      </c>
      <c r="H32" s="24">
        <f t="shared" si="24"/>
        <v>3651419</v>
      </c>
      <c r="I32" s="25">
        <f t="shared" si="24"/>
        <v>4381362.5</v>
      </c>
      <c r="J32" s="24">
        <f t="shared" si="24"/>
        <v>5376740</v>
      </c>
      <c r="K32" s="42">
        <v>5807165</v>
      </c>
      <c r="L32" s="59" t="s">
        <v>38</v>
      </c>
      <c r="M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ht="15" x14ac:dyDescent="0.2">
      <c r="A33" s="23" t="s">
        <v>79</v>
      </c>
      <c r="B33" s="24">
        <f t="shared" ref="B33:J33" si="25">(B10*0.03*23)+B10</f>
        <v>1673353.5</v>
      </c>
      <c r="C33" s="25">
        <f t="shared" si="25"/>
        <v>2061377.5</v>
      </c>
      <c r="D33" s="24">
        <f t="shared" si="25"/>
        <v>2435543.5</v>
      </c>
      <c r="E33" s="25">
        <f t="shared" si="25"/>
        <v>2451133.75</v>
      </c>
      <c r="F33" s="24">
        <f t="shared" si="25"/>
        <v>2757742</v>
      </c>
      <c r="G33" s="25">
        <f t="shared" si="25"/>
        <v>3135372.5</v>
      </c>
      <c r="H33" s="24">
        <f t="shared" si="25"/>
        <v>3717408.5</v>
      </c>
      <c r="I33" s="25">
        <f t="shared" si="25"/>
        <v>4460543.75</v>
      </c>
      <c r="J33" s="24">
        <f t="shared" si="25"/>
        <v>5473910</v>
      </c>
      <c r="K33" s="42">
        <v>5882387</v>
      </c>
      <c r="L33" s="59" t="s">
        <v>39</v>
      </c>
      <c r="M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ht="15" x14ac:dyDescent="0.2">
      <c r="A34" s="23" t="s">
        <v>80</v>
      </c>
      <c r="B34" s="24">
        <f t="shared" ref="B34:J34" si="26">(B10*0.03*24)+B10</f>
        <v>1703058</v>
      </c>
      <c r="C34" s="25">
        <f t="shared" si="26"/>
        <v>2097970</v>
      </c>
      <c r="D34" s="24">
        <f t="shared" si="26"/>
        <v>2478778</v>
      </c>
      <c r="E34" s="25">
        <f t="shared" si="26"/>
        <v>2494645</v>
      </c>
      <c r="F34" s="24">
        <f t="shared" si="26"/>
        <v>2806696</v>
      </c>
      <c r="G34" s="25">
        <f t="shared" si="26"/>
        <v>3191030</v>
      </c>
      <c r="H34" s="24">
        <f t="shared" si="26"/>
        <v>3783398</v>
      </c>
      <c r="I34" s="25">
        <f t="shared" si="26"/>
        <v>4539725</v>
      </c>
      <c r="J34" s="24">
        <f t="shared" si="26"/>
        <v>5571080</v>
      </c>
      <c r="K34" s="42">
        <v>5957609</v>
      </c>
      <c r="L34" s="59" t="s">
        <v>40</v>
      </c>
      <c r="M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ht="15" x14ac:dyDescent="0.2">
      <c r="A35" s="23" t="s">
        <v>81</v>
      </c>
      <c r="B35" s="24">
        <f t="shared" ref="B35:J35" si="27">(B10*0.03*25)+B10</f>
        <v>1732762.5</v>
      </c>
      <c r="C35" s="25">
        <f t="shared" si="27"/>
        <v>2134562.5</v>
      </c>
      <c r="D35" s="24">
        <f t="shared" si="27"/>
        <v>2522012.5</v>
      </c>
      <c r="E35" s="25">
        <f t="shared" si="27"/>
        <v>2538156.25</v>
      </c>
      <c r="F35" s="24">
        <f t="shared" si="27"/>
        <v>2855650</v>
      </c>
      <c r="G35" s="25">
        <f t="shared" si="27"/>
        <v>3246687.5</v>
      </c>
      <c r="H35" s="24">
        <f t="shared" si="27"/>
        <v>3849387.5</v>
      </c>
      <c r="I35" s="25">
        <f t="shared" si="27"/>
        <v>4618906.25</v>
      </c>
      <c r="J35" s="24">
        <f t="shared" si="27"/>
        <v>5668250</v>
      </c>
      <c r="K35" s="42">
        <v>6032832</v>
      </c>
      <c r="L35" s="59" t="s">
        <v>43</v>
      </c>
      <c r="M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</sheetData>
  <printOptions horizontalCentered="1" verticalCentered="1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headerFooter>
    <oddHeader>&amp;C&amp;"Comic Sans MS,Fett"Gehaltstabellen von 01.01.1995 bis 31.12.1995 / Tabelle stipendiali dal 01.01.1995 al 31.12.1995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topLeftCell="B1" zoomScaleNormal="100" workbookViewId="0">
      <selection activeCell="L2" sqref="L2"/>
    </sheetView>
  </sheetViews>
  <sheetFormatPr baseColWidth="10" defaultColWidth="9.140625" defaultRowHeight="12.75" x14ac:dyDescent="0.2"/>
  <cols>
    <col min="1" max="1" width="0" hidden="1"/>
    <col min="2" max="2" width="23.140625"/>
    <col min="3" max="11" width="11.5703125"/>
    <col min="12" max="12" width="12.5703125"/>
    <col min="13" max="13" width="0" hidden="1"/>
    <col min="14" max="14" width="6.5703125"/>
    <col min="15" max="256" width="11.28515625"/>
    <col min="257" max="1025" width="11.5703125"/>
  </cols>
  <sheetData>
    <row r="1" spans="1:256" x14ac:dyDescent="0.2">
      <c r="A1" s="1"/>
      <c r="B1" s="1"/>
      <c r="C1" s="2"/>
      <c r="D1" s="3"/>
      <c r="E1" s="2"/>
      <c r="F1" s="3"/>
      <c r="G1" s="2"/>
      <c r="H1" s="3"/>
      <c r="I1" s="2"/>
      <c r="J1" s="3"/>
      <c r="K1" s="2"/>
      <c r="L1" s="53"/>
      <c r="M1" s="5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x14ac:dyDescent="0.25">
      <c r="A2" s="5"/>
      <c r="B2" s="64">
        <v>1936.27</v>
      </c>
      <c r="C2" s="9" t="s">
        <v>44</v>
      </c>
      <c r="D2" s="40" t="s">
        <v>45</v>
      </c>
      <c r="E2" s="9" t="s">
        <v>46</v>
      </c>
      <c r="F2" s="40" t="s">
        <v>47</v>
      </c>
      <c r="G2" s="9" t="s">
        <v>48</v>
      </c>
      <c r="H2" s="40" t="s">
        <v>49</v>
      </c>
      <c r="I2" s="9" t="s">
        <v>50</v>
      </c>
      <c r="J2" s="40" t="s">
        <v>51</v>
      </c>
      <c r="K2" s="9" t="s">
        <v>52</v>
      </c>
      <c r="L2" s="29" t="s">
        <v>9</v>
      </c>
      <c r="M2" s="56" t="s">
        <v>9</v>
      </c>
      <c r="N2" s="57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" x14ac:dyDescent="0.2">
      <c r="A3" s="12"/>
      <c r="B3" s="13" t="s">
        <v>10</v>
      </c>
      <c r="C3" s="14"/>
      <c r="D3" s="15"/>
      <c r="E3" s="14"/>
      <c r="F3" s="15"/>
      <c r="G3" s="14"/>
      <c r="H3" s="15"/>
      <c r="I3" s="14"/>
      <c r="J3" s="15"/>
      <c r="K3" s="14"/>
      <c r="L3" s="31"/>
      <c r="M3" s="31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15.75" x14ac:dyDescent="0.25">
      <c r="A4" s="17"/>
      <c r="B4" s="18" t="s">
        <v>11</v>
      </c>
      <c r="C4" s="47">
        <f>773875/B2</f>
        <v>399.67308278287635</v>
      </c>
      <c r="D4" s="48">
        <f>952225/B2</f>
        <v>491.78317073548629</v>
      </c>
      <c r="E4" s="47">
        <f>1110075/B2</f>
        <v>573.30589225676169</v>
      </c>
      <c r="F4" s="48">
        <f>1117250/B2</f>
        <v>577.01147050772875</v>
      </c>
      <c r="G4" s="47">
        <f>1257675/B2</f>
        <v>649.53493056236994</v>
      </c>
      <c r="H4" s="48">
        <f>1403225/B2</f>
        <v>724.70523222484474</v>
      </c>
      <c r="I4" s="47">
        <f>1664600/B2</f>
        <v>859.69415422435918</v>
      </c>
      <c r="J4" s="48">
        <f>2033600/B2</f>
        <v>1050.2667499883798</v>
      </c>
      <c r="K4" s="47">
        <f>2429250/B2</f>
        <v>1254.602922113135</v>
      </c>
      <c r="L4" s="49">
        <f>M4/$B$2</f>
        <v>1553.9640649289613</v>
      </c>
      <c r="M4" s="41">
        <v>3008894</v>
      </c>
      <c r="N4" s="65" t="s">
        <v>12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15" x14ac:dyDescent="0.2">
      <c r="A5" s="22">
        <v>1</v>
      </c>
      <c r="B5" s="23" t="s">
        <v>53</v>
      </c>
      <c r="C5" s="50">
        <f>($C$4*0.06*A5)+$C$4</f>
        <v>423.65346774984891</v>
      </c>
      <c r="D5" s="51">
        <f>($D$4*0.06*A5)+$D$4</f>
        <v>521.29016097961551</v>
      </c>
      <c r="E5" s="50">
        <f>($E$4*0.06*A5)+$E$4</f>
        <v>607.7042457921674</v>
      </c>
      <c r="F5" s="51">
        <f>($F$4*0.06*A5)+$F$4</f>
        <v>611.63215873819252</v>
      </c>
      <c r="G5" s="50">
        <f>($G$4*0.06*A5)+$G$4</f>
        <v>688.50702639611211</v>
      </c>
      <c r="H5" s="51">
        <f>($H$4*0.06*A5)+$H$4</f>
        <v>768.18754615833541</v>
      </c>
      <c r="I5" s="50">
        <f>($I$4*0.06*A5)+$I$4</f>
        <v>911.27580347782077</v>
      </c>
      <c r="J5" s="51">
        <f>($J$4*0.06*A5)+$J$4</f>
        <v>1113.2827549876827</v>
      </c>
      <c r="K5" s="50">
        <f>($K$4*0.06*A5)+$K$4</f>
        <v>1329.879097439923</v>
      </c>
      <c r="L5" s="52">
        <f>M5/$B$2</f>
        <v>1647.2015782922836</v>
      </c>
      <c r="M5" s="42">
        <v>3189427</v>
      </c>
      <c r="N5" s="66" t="s">
        <v>13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15" x14ac:dyDescent="0.2">
      <c r="A6" s="22">
        <v>2</v>
      </c>
      <c r="B6" s="23" t="s">
        <v>54</v>
      </c>
      <c r="C6" s="50">
        <f>($C$4*0.06*A6)+$C$4</f>
        <v>447.63385271682148</v>
      </c>
      <c r="D6" s="51">
        <f>($D$4*0.06*A6)+$D$4</f>
        <v>550.79715122374466</v>
      </c>
      <c r="E6" s="50">
        <f>($E$4*0.06*A6)+$E$4</f>
        <v>642.1025993275731</v>
      </c>
      <c r="F6" s="51">
        <f>($F$4*0.06*A6)+$F$4</f>
        <v>646.25284696865617</v>
      </c>
      <c r="G6" s="50">
        <f>($G$4*0.06*A6)+$G$4</f>
        <v>727.47912222985428</v>
      </c>
      <c r="H6" s="51">
        <f>($H$4*0.06*A6)+$H$4</f>
        <v>811.66986009182608</v>
      </c>
      <c r="I6" s="50">
        <f>($I$4*0.06*A6)+$I$4</f>
        <v>962.85745273128225</v>
      </c>
      <c r="J6" s="51">
        <f>($J$4*0.06*A6)+$J$4</f>
        <v>1176.2987599869855</v>
      </c>
      <c r="K6" s="50">
        <f>($K$4*0.06*A6)+$K$4</f>
        <v>1405.1552727667113</v>
      </c>
      <c r="L6" s="52">
        <f>M6/$B$2</f>
        <v>1740.4396081125051</v>
      </c>
      <c r="M6" s="42">
        <v>3369961</v>
      </c>
      <c r="N6" s="67" t="s">
        <v>14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15" x14ac:dyDescent="0.2">
      <c r="A7" s="22">
        <v>3</v>
      </c>
      <c r="B7" s="23" t="s">
        <v>55</v>
      </c>
      <c r="C7" s="50">
        <f>($C$4*0.06*A7)+$C$4</f>
        <v>471.6142376837941</v>
      </c>
      <c r="D7" s="51">
        <f>($D$4*0.06*A7)+$D$4</f>
        <v>580.30414146787382</v>
      </c>
      <c r="E7" s="50">
        <f>($E$4*0.06*A7)+$E$4</f>
        <v>676.50095286297881</v>
      </c>
      <c r="F7" s="51">
        <f>($F$4*0.06*A7)+$F$4</f>
        <v>680.87353519911994</v>
      </c>
      <c r="G7" s="50">
        <f>($G$4*0.06*A7)+$G$4</f>
        <v>766.45121806359657</v>
      </c>
      <c r="H7" s="51">
        <f>($H$4*0.06*A7)+$H$4</f>
        <v>855.15217402531675</v>
      </c>
      <c r="I7" s="50">
        <f>($I$4*0.06*A7)+$I$4</f>
        <v>1014.4391019847438</v>
      </c>
      <c r="J7" s="51">
        <f>($J$4*0.06*A7)+$J$4</f>
        <v>1239.3147649862881</v>
      </c>
      <c r="K7" s="50">
        <f>($K$4*0.06*A7)+$K$4</f>
        <v>1480.4314480934993</v>
      </c>
      <c r="L7" s="52">
        <f>M7/$B$2</f>
        <v>1833.6776379327264</v>
      </c>
      <c r="M7" s="42">
        <v>3550495</v>
      </c>
      <c r="N7" s="66" t="s">
        <v>15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ht="15" x14ac:dyDescent="0.2">
      <c r="A8" s="22"/>
      <c r="B8" s="22"/>
      <c r="C8" s="37"/>
      <c r="D8" s="38"/>
      <c r="E8" s="37"/>
      <c r="F8" s="38"/>
      <c r="G8" s="37"/>
      <c r="H8" s="38"/>
      <c r="I8" s="37"/>
      <c r="J8" s="38"/>
      <c r="K8" s="37"/>
      <c r="L8" s="68"/>
      <c r="M8" s="60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ht="15" x14ac:dyDescent="0.2">
      <c r="A9" s="12"/>
      <c r="B9" s="12" t="s">
        <v>56</v>
      </c>
      <c r="C9" s="44"/>
      <c r="D9" s="45"/>
      <c r="E9" s="44"/>
      <c r="F9" s="45"/>
      <c r="G9" s="44"/>
      <c r="H9" s="45"/>
      <c r="I9" s="44"/>
      <c r="J9" s="45"/>
      <c r="K9" s="44"/>
      <c r="L9" s="69"/>
      <c r="M9" s="3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spans="1:256" ht="15.75" x14ac:dyDescent="0.25">
      <c r="A10" s="17"/>
      <c r="B10" s="18" t="s">
        <v>11</v>
      </c>
      <c r="C10" s="47">
        <f>990150/B2</f>
        <v>511.36979863345505</v>
      </c>
      <c r="D10" s="48">
        <f>1219750/B2</f>
        <v>629.94830266440113</v>
      </c>
      <c r="E10" s="47">
        <f>1441150/B2</f>
        <v>744.29186012281343</v>
      </c>
      <c r="F10" s="48">
        <f>1450375/B2</f>
        <v>749.05617501691393</v>
      </c>
      <c r="G10" s="47">
        <f>1631800/B2</f>
        <v>842.75436793422409</v>
      </c>
      <c r="H10" s="48">
        <f>1855250/B2</f>
        <v>958.15666203576984</v>
      </c>
      <c r="I10" s="47">
        <f>2199650/B2</f>
        <v>1136.024418082189</v>
      </c>
      <c r="J10" s="48">
        <f>2639375/B2</f>
        <v>1363.1234280343135</v>
      </c>
      <c r="K10" s="47">
        <f>3239000/B2</f>
        <v>1672.8038961508466</v>
      </c>
      <c r="L10" s="49">
        <f t="shared" ref="L10:L35" si="0">M10/$B$2</f>
        <v>1926.9151512960486</v>
      </c>
      <c r="M10" s="42">
        <v>3731028</v>
      </c>
      <c r="N10" s="66" t="s">
        <v>16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ht="15" x14ac:dyDescent="0.2">
      <c r="A11" s="22">
        <v>1</v>
      </c>
      <c r="B11" s="23" t="s">
        <v>57</v>
      </c>
      <c r="C11" s="50">
        <f t="shared" ref="C11:C35" si="1">($C$10*0.03*A11)+$C$10</f>
        <v>526.71089259245866</v>
      </c>
      <c r="D11" s="51">
        <f t="shared" ref="D11:D35" si="2">($D$10*0.03*A11)+$D$10</f>
        <v>648.84675174433312</v>
      </c>
      <c r="E11" s="50">
        <f t="shared" ref="E11:E35" si="3">($E$10*0.03*A11)+$E$10</f>
        <v>766.62061592649786</v>
      </c>
      <c r="F11" s="51">
        <f t="shared" ref="F11:F35" si="4">($F$10*0.03*A11)+$F$10</f>
        <v>771.52786026742137</v>
      </c>
      <c r="G11" s="50">
        <f t="shared" ref="G11:G35" si="5">($G$10*0.03*A11)+$G$10</f>
        <v>868.03699897225079</v>
      </c>
      <c r="H11" s="51">
        <f t="shared" ref="H11:H35" si="6">($H$10*0.03*A11)+$H$10</f>
        <v>986.9013618968429</v>
      </c>
      <c r="I11" s="50">
        <f t="shared" ref="I11:I35" si="7">($I$10*0.03*A11)+$I$10</f>
        <v>1170.1051506246547</v>
      </c>
      <c r="J11" s="51">
        <f t="shared" ref="J11:J35" si="8">($J$10*0.03*A11)+$J$10</f>
        <v>1404.0171308753429</v>
      </c>
      <c r="K11" s="50">
        <f t="shared" ref="K11:K35" si="9">($K$10*0.03*A11)+$K$10</f>
        <v>1722.988013035372</v>
      </c>
      <c r="L11" s="52">
        <f t="shared" si="0"/>
        <v>2020.1531811162699</v>
      </c>
      <c r="M11" s="42">
        <v>3911562</v>
      </c>
      <c r="N11" s="66" t="s">
        <v>17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" x14ac:dyDescent="0.2">
      <c r="A12" s="22">
        <v>2</v>
      </c>
      <c r="B12" s="23" t="s">
        <v>58</v>
      </c>
      <c r="C12" s="50">
        <f t="shared" si="1"/>
        <v>542.05198655146239</v>
      </c>
      <c r="D12" s="51">
        <f t="shared" si="2"/>
        <v>667.74520082426523</v>
      </c>
      <c r="E12" s="50">
        <f t="shared" si="3"/>
        <v>788.94937173018229</v>
      </c>
      <c r="F12" s="51">
        <f t="shared" si="4"/>
        <v>793.99954551792871</v>
      </c>
      <c r="G12" s="50">
        <f t="shared" si="5"/>
        <v>893.31963001027748</v>
      </c>
      <c r="H12" s="51">
        <f t="shared" si="6"/>
        <v>1015.6460617579161</v>
      </c>
      <c r="I12" s="50">
        <f t="shared" si="7"/>
        <v>1204.1858831671202</v>
      </c>
      <c r="J12" s="51">
        <f t="shared" si="8"/>
        <v>1444.9108337163723</v>
      </c>
      <c r="K12" s="50">
        <f t="shared" si="9"/>
        <v>1773.1721299198975</v>
      </c>
      <c r="L12" s="52">
        <f t="shared" si="0"/>
        <v>2113.3906944795922</v>
      </c>
      <c r="M12" s="42">
        <v>4092095</v>
      </c>
      <c r="N12" s="66" t="s">
        <v>18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ht="15" x14ac:dyDescent="0.2">
      <c r="A13" s="22">
        <v>3</v>
      </c>
      <c r="B13" s="23" t="s">
        <v>59</v>
      </c>
      <c r="C13" s="50">
        <f t="shared" si="1"/>
        <v>557.39308051046601</v>
      </c>
      <c r="D13" s="51">
        <f t="shared" si="2"/>
        <v>686.64364990419722</v>
      </c>
      <c r="E13" s="50">
        <f t="shared" si="3"/>
        <v>811.27812753386661</v>
      </c>
      <c r="F13" s="51">
        <f t="shared" si="4"/>
        <v>816.47123076843616</v>
      </c>
      <c r="G13" s="50">
        <f t="shared" si="5"/>
        <v>918.60226104830429</v>
      </c>
      <c r="H13" s="51">
        <f t="shared" si="6"/>
        <v>1044.390761618989</v>
      </c>
      <c r="I13" s="50">
        <f t="shared" si="7"/>
        <v>1238.2666157095859</v>
      </c>
      <c r="J13" s="51">
        <f t="shared" si="8"/>
        <v>1485.8045365574017</v>
      </c>
      <c r="K13" s="50">
        <f t="shared" si="9"/>
        <v>1823.3562468044229</v>
      </c>
      <c r="L13" s="52">
        <f t="shared" si="0"/>
        <v>2206.6287242998137</v>
      </c>
      <c r="M13" s="42">
        <v>4272629</v>
      </c>
      <c r="N13" s="66" t="s">
        <v>19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15" x14ac:dyDescent="0.2">
      <c r="A14" s="22">
        <v>4</v>
      </c>
      <c r="B14" s="23" t="s">
        <v>60</v>
      </c>
      <c r="C14" s="50">
        <f t="shared" si="1"/>
        <v>572.73417446946962</v>
      </c>
      <c r="D14" s="51">
        <f t="shared" si="2"/>
        <v>705.54209898412921</v>
      </c>
      <c r="E14" s="50">
        <f t="shared" si="3"/>
        <v>833.60688333755104</v>
      </c>
      <c r="F14" s="51">
        <f t="shared" si="4"/>
        <v>838.94291601894361</v>
      </c>
      <c r="G14" s="50">
        <f t="shared" si="5"/>
        <v>943.88489208633098</v>
      </c>
      <c r="H14" s="51">
        <f t="shared" si="6"/>
        <v>1073.1354614800623</v>
      </c>
      <c r="I14" s="50">
        <f t="shared" si="7"/>
        <v>1272.3473482520517</v>
      </c>
      <c r="J14" s="51">
        <f t="shared" si="8"/>
        <v>1526.698239398431</v>
      </c>
      <c r="K14" s="50">
        <f t="shared" si="9"/>
        <v>1873.5403636889482</v>
      </c>
      <c r="L14" s="52">
        <f t="shared" si="0"/>
        <v>2299.8667541200348</v>
      </c>
      <c r="M14" s="42">
        <v>4453163</v>
      </c>
      <c r="N14" s="66" t="s">
        <v>20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5" x14ac:dyDescent="0.2">
      <c r="A15" s="22">
        <v>5</v>
      </c>
      <c r="B15" s="23" t="s">
        <v>61</v>
      </c>
      <c r="C15" s="50">
        <f t="shared" si="1"/>
        <v>588.07526842847324</v>
      </c>
      <c r="D15" s="51">
        <f t="shared" si="2"/>
        <v>724.44054806406132</v>
      </c>
      <c r="E15" s="50">
        <f t="shared" si="3"/>
        <v>855.93563914123547</v>
      </c>
      <c r="F15" s="51">
        <f t="shared" si="4"/>
        <v>861.41460126945105</v>
      </c>
      <c r="G15" s="50">
        <f t="shared" si="5"/>
        <v>969.16752312435767</v>
      </c>
      <c r="H15" s="51">
        <f t="shared" si="6"/>
        <v>1101.8801613411354</v>
      </c>
      <c r="I15" s="50">
        <f t="shared" si="7"/>
        <v>1306.4280807945174</v>
      </c>
      <c r="J15" s="51">
        <f t="shared" si="8"/>
        <v>1567.5919422394604</v>
      </c>
      <c r="K15" s="50">
        <f t="shared" si="9"/>
        <v>1923.7244805734736</v>
      </c>
      <c r="L15" s="52">
        <f t="shared" si="0"/>
        <v>2338.7156749833443</v>
      </c>
      <c r="M15" s="42">
        <v>4528385</v>
      </c>
      <c r="N15" s="66" t="s">
        <v>84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15" x14ac:dyDescent="0.2">
      <c r="A16" s="22">
        <v>6</v>
      </c>
      <c r="B16" s="23" t="s">
        <v>62</v>
      </c>
      <c r="C16" s="50">
        <f t="shared" si="1"/>
        <v>603.41636238747697</v>
      </c>
      <c r="D16" s="51">
        <f t="shared" si="2"/>
        <v>743.33899714399331</v>
      </c>
      <c r="E16" s="50">
        <f t="shared" si="3"/>
        <v>878.26439494491979</v>
      </c>
      <c r="F16" s="51">
        <f t="shared" si="4"/>
        <v>883.88628651995839</v>
      </c>
      <c r="G16" s="50">
        <f t="shared" si="5"/>
        <v>994.45015416238448</v>
      </c>
      <c r="H16" s="51">
        <f t="shared" si="6"/>
        <v>1130.6248612022084</v>
      </c>
      <c r="I16" s="50">
        <f t="shared" si="7"/>
        <v>1340.5088133369829</v>
      </c>
      <c r="J16" s="51">
        <f t="shared" si="8"/>
        <v>1608.48564508049</v>
      </c>
      <c r="K16" s="50">
        <f t="shared" si="9"/>
        <v>1973.9085974579989</v>
      </c>
      <c r="L16" s="52">
        <f t="shared" si="0"/>
        <v>2377.5645958466534</v>
      </c>
      <c r="M16" s="42">
        <v>4603607</v>
      </c>
      <c r="N16" s="66" t="s">
        <v>22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5" x14ac:dyDescent="0.2">
      <c r="A17" s="22">
        <v>7</v>
      </c>
      <c r="B17" s="23" t="s">
        <v>63</v>
      </c>
      <c r="C17" s="50">
        <f t="shared" si="1"/>
        <v>618.75745634648058</v>
      </c>
      <c r="D17" s="51">
        <f t="shared" si="2"/>
        <v>762.23744622392542</v>
      </c>
      <c r="E17" s="50">
        <f t="shared" si="3"/>
        <v>900.59315074860422</v>
      </c>
      <c r="F17" s="51">
        <f t="shared" si="4"/>
        <v>906.35797177046584</v>
      </c>
      <c r="G17" s="50">
        <f t="shared" si="5"/>
        <v>1019.7327852004112</v>
      </c>
      <c r="H17" s="51">
        <f t="shared" si="6"/>
        <v>1159.3695610632815</v>
      </c>
      <c r="I17" s="50">
        <f t="shared" si="7"/>
        <v>1374.5895458794487</v>
      </c>
      <c r="J17" s="51">
        <f t="shared" si="8"/>
        <v>1649.3793479215194</v>
      </c>
      <c r="K17" s="50">
        <f t="shared" si="9"/>
        <v>2024.0927143425245</v>
      </c>
      <c r="L17" s="52">
        <f t="shared" si="0"/>
        <v>2416.4140331668623</v>
      </c>
      <c r="M17" s="42">
        <v>4678830</v>
      </c>
      <c r="N17" s="66" t="s">
        <v>23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5" x14ac:dyDescent="0.2">
      <c r="A18" s="22">
        <v>8</v>
      </c>
      <c r="B18" s="23" t="s">
        <v>64</v>
      </c>
      <c r="C18" s="50">
        <f t="shared" si="1"/>
        <v>634.0985503054842</v>
      </c>
      <c r="D18" s="51">
        <f t="shared" si="2"/>
        <v>781.13589530385741</v>
      </c>
      <c r="E18" s="50">
        <f t="shared" si="3"/>
        <v>922.92190655228865</v>
      </c>
      <c r="F18" s="51">
        <f t="shared" si="4"/>
        <v>928.82965702097329</v>
      </c>
      <c r="G18" s="50">
        <f t="shared" si="5"/>
        <v>1045.0154162384379</v>
      </c>
      <c r="H18" s="51">
        <f t="shared" si="6"/>
        <v>1188.1142609243545</v>
      </c>
      <c r="I18" s="50">
        <f t="shared" si="7"/>
        <v>1408.6702784219142</v>
      </c>
      <c r="J18" s="51">
        <f t="shared" si="8"/>
        <v>1690.2730507625488</v>
      </c>
      <c r="K18" s="50">
        <f t="shared" si="9"/>
        <v>2074.27683122705</v>
      </c>
      <c r="L18" s="52">
        <f t="shared" si="0"/>
        <v>2455.2629540301714</v>
      </c>
      <c r="M18" s="42">
        <v>4754052</v>
      </c>
      <c r="N18" s="66" t="s">
        <v>24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15" x14ac:dyDescent="0.2">
      <c r="A19" s="22">
        <v>9</v>
      </c>
      <c r="B19" s="23" t="s">
        <v>65</v>
      </c>
      <c r="C19" s="50">
        <f t="shared" si="1"/>
        <v>649.43964426448792</v>
      </c>
      <c r="D19" s="51">
        <f t="shared" si="2"/>
        <v>800.0343443837894</v>
      </c>
      <c r="E19" s="50">
        <f t="shared" si="3"/>
        <v>945.25066235597308</v>
      </c>
      <c r="F19" s="51">
        <f t="shared" si="4"/>
        <v>951.30134227148073</v>
      </c>
      <c r="G19" s="50">
        <f t="shared" si="5"/>
        <v>1070.2980472764646</v>
      </c>
      <c r="H19" s="51">
        <f t="shared" si="6"/>
        <v>1216.8589607854278</v>
      </c>
      <c r="I19" s="50">
        <f t="shared" si="7"/>
        <v>1442.7510109643799</v>
      </c>
      <c r="J19" s="51">
        <f t="shared" si="8"/>
        <v>1731.1667536035782</v>
      </c>
      <c r="K19" s="50">
        <f t="shared" si="9"/>
        <v>2124.4609481115754</v>
      </c>
      <c r="L19" s="52">
        <f t="shared" si="0"/>
        <v>2494.1118748934809</v>
      </c>
      <c r="M19" s="42">
        <v>4829274</v>
      </c>
      <c r="N19" s="66" t="s">
        <v>25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15" x14ac:dyDescent="0.2">
      <c r="A20" s="22">
        <v>10</v>
      </c>
      <c r="B20" s="23" t="s">
        <v>66</v>
      </c>
      <c r="C20" s="50">
        <f t="shared" si="1"/>
        <v>664.78073822349154</v>
      </c>
      <c r="D20" s="51">
        <f t="shared" si="2"/>
        <v>818.93279346372151</v>
      </c>
      <c r="E20" s="50">
        <f t="shared" si="3"/>
        <v>967.57941815965751</v>
      </c>
      <c r="F20" s="51">
        <f t="shared" si="4"/>
        <v>973.77302752198807</v>
      </c>
      <c r="G20" s="50">
        <f t="shared" si="5"/>
        <v>1095.5806783144913</v>
      </c>
      <c r="H20" s="51">
        <f t="shared" si="6"/>
        <v>1245.6036606465009</v>
      </c>
      <c r="I20" s="50">
        <f t="shared" si="7"/>
        <v>1476.8317435068457</v>
      </c>
      <c r="J20" s="51">
        <f t="shared" si="8"/>
        <v>1772.0604564446076</v>
      </c>
      <c r="K20" s="50">
        <f t="shared" si="9"/>
        <v>2174.6450649961007</v>
      </c>
      <c r="L20" s="52">
        <f t="shared" si="0"/>
        <v>2532.9613122136893</v>
      </c>
      <c r="M20" s="42">
        <v>4904497</v>
      </c>
      <c r="N20" s="66" t="s">
        <v>26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15" x14ac:dyDescent="0.2">
      <c r="A21" s="22">
        <v>11</v>
      </c>
      <c r="B21" s="23" t="s">
        <v>67</v>
      </c>
      <c r="C21" s="50">
        <f t="shared" si="1"/>
        <v>680.12183218249515</v>
      </c>
      <c r="D21" s="51">
        <f t="shared" si="2"/>
        <v>837.8312425436535</v>
      </c>
      <c r="E21" s="50">
        <f t="shared" si="3"/>
        <v>989.90817396334182</v>
      </c>
      <c r="F21" s="51">
        <f t="shared" si="4"/>
        <v>996.24471277249552</v>
      </c>
      <c r="G21" s="50">
        <f t="shared" si="5"/>
        <v>1120.8633093525182</v>
      </c>
      <c r="H21" s="51">
        <f t="shared" si="6"/>
        <v>1274.3483605075739</v>
      </c>
      <c r="I21" s="50">
        <f t="shared" si="7"/>
        <v>1510.9124760493114</v>
      </c>
      <c r="J21" s="51">
        <f t="shared" si="8"/>
        <v>1812.9541592856369</v>
      </c>
      <c r="K21" s="50">
        <f t="shared" si="9"/>
        <v>2224.829181880626</v>
      </c>
      <c r="L21" s="52">
        <f t="shared" si="0"/>
        <v>2571.8102330769984</v>
      </c>
      <c r="M21" s="42">
        <v>4979719</v>
      </c>
      <c r="N21" s="66" t="s">
        <v>27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15" x14ac:dyDescent="0.2">
      <c r="A22" s="22">
        <v>12</v>
      </c>
      <c r="B22" s="23" t="s">
        <v>68</v>
      </c>
      <c r="C22" s="50">
        <f t="shared" si="1"/>
        <v>695.46292614149888</v>
      </c>
      <c r="D22" s="51">
        <f t="shared" si="2"/>
        <v>856.7296916235855</v>
      </c>
      <c r="E22" s="50">
        <f t="shared" si="3"/>
        <v>1012.2369297670263</v>
      </c>
      <c r="F22" s="51">
        <f t="shared" si="4"/>
        <v>1018.716398023003</v>
      </c>
      <c r="G22" s="50">
        <f t="shared" si="5"/>
        <v>1146.1459403905446</v>
      </c>
      <c r="H22" s="51">
        <f t="shared" si="6"/>
        <v>1303.093060368647</v>
      </c>
      <c r="I22" s="50">
        <f t="shared" si="7"/>
        <v>1544.9932085917769</v>
      </c>
      <c r="J22" s="51">
        <f t="shared" si="8"/>
        <v>1853.8478621266663</v>
      </c>
      <c r="K22" s="50">
        <f t="shared" si="9"/>
        <v>2275.0132987651514</v>
      </c>
      <c r="L22" s="52">
        <f t="shared" si="0"/>
        <v>2610.659153940308</v>
      </c>
      <c r="M22" s="42">
        <v>5054941</v>
      </c>
      <c r="N22" s="66" t="s">
        <v>28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15" x14ac:dyDescent="0.2">
      <c r="A23" s="22">
        <v>13</v>
      </c>
      <c r="B23" s="23" t="s">
        <v>69</v>
      </c>
      <c r="C23" s="50">
        <f t="shared" si="1"/>
        <v>710.8040201005025</v>
      </c>
      <c r="D23" s="51">
        <f t="shared" si="2"/>
        <v>875.6281407035176</v>
      </c>
      <c r="E23" s="50">
        <f t="shared" si="3"/>
        <v>1034.5656855707107</v>
      </c>
      <c r="F23" s="51">
        <f t="shared" si="4"/>
        <v>1041.1880832735103</v>
      </c>
      <c r="G23" s="50">
        <f t="shared" si="5"/>
        <v>1171.4285714285716</v>
      </c>
      <c r="H23" s="51">
        <f t="shared" si="6"/>
        <v>1331.8377602297201</v>
      </c>
      <c r="I23" s="50">
        <f t="shared" si="7"/>
        <v>1579.0739411342427</v>
      </c>
      <c r="J23" s="51">
        <f t="shared" si="8"/>
        <v>1894.7415649676957</v>
      </c>
      <c r="K23" s="50">
        <f t="shared" si="9"/>
        <v>2325.1974156496767</v>
      </c>
      <c r="L23" s="52">
        <f t="shared" si="0"/>
        <v>2649.5085912605164</v>
      </c>
      <c r="M23" s="42">
        <v>5130164</v>
      </c>
      <c r="N23" s="66" t="s">
        <v>29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15" x14ac:dyDescent="0.2">
      <c r="A24" s="22">
        <v>14</v>
      </c>
      <c r="B24" s="23" t="s">
        <v>70</v>
      </c>
      <c r="C24" s="50">
        <f t="shared" si="1"/>
        <v>726.14511405950611</v>
      </c>
      <c r="D24" s="51">
        <f t="shared" si="2"/>
        <v>894.52658978344959</v>
      </c>
      <c r="E24" s="50">
        <f t="shared" si="3"/>
        <v>1056.894441374395</v>
      </c>
      <c r="F24" s="51">
        <f t="shared" si="4"/>
        <v>1063.6597685240176</v>
      </c>
      <c r="G24" s="50">
        <f t="shared" si="5"/>
        <v>1196.7112024665983</v>
      </c>
      <c r="H24" s="51">
        <f t="shared" si="6"/>
        <v>1360.5824600907931</v>
      </c>
      <c r="I24" s="50">
        <f t="shared" si="7"/>
        <v>1613.1546736767082</v>
      </c>
      <c r="J24" s="51">
        <f t="shared" si="8"/>
        <v>1935.6352678087251</v>
      </c>
      <c r="K24" s="50">
        <f t="shared" si="9"/>
        <v>2375.3815325342021</v>
      </c>
      <c r="L24" s="52">
        <f t="shared" si="0"/>
        <v>2688.3575121238259</v>
      </c>
      <c r="M24" s="42">
        <v>5205386</v>
      </c>
      <c r="N24" s="66" t="s">
        <v>30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5" x14ac:dyDescent="0.2">
      <c r="A25" s="22">
        <v>15</v>
      </c>
      <c r="B25" s="23" t="s">
        <v>71</v>
      </c>
      <c r="C25" s="50">
        <f t="shared" si="1"/>
        <v>741.48620801850984</v>
      </c>
      <c r="D25" s="51">
        <f t="shared" si="2"/>
        <v>913.42503886338159</v>
      </c>
      <c r="E25" s="50">
        <f t="shared" si="3"/>
        <v>1079.2231971780793</v>
      </c>
      <c r="F25" s="51">
        <f t="shared" si="4"/>
        <v>1086.1314537745252</v>
      </c>
      <c r="G25" s="50">
        <f t="shared" si="5"/>
        <v>1221.9938335046249</v>
      </c>
      <c r="H25" s="51">
        <f t="shared" si="6"/>
        <v>1389.3271599518662</v>
      </c>
      <c r="I25" s="50">
        <f t="shared" si="7"/>
        <v>1647.2354062191739</v>
      </c>
      <c r="J25" s="51">
        <f t="shared" si="8"/>
        <v>1976.5289706497547</v>
      </c>
      <c r="K25" s="50">
        <f t="shared" si="9"/>
        <v>2425.5656494187278</v>
      </c>
      <c r="L25" s="52">
        <f t="shared" si="0"/>
        <v>2727.206432987135</v>
      </c>
      <c r="M25" s="42">
        <v>5280608</v>
      </c>
      <c r="N25" s="66" t="s">
        <v>31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15" x14ac:dyDescent="0.2">
      <c r="A26" s="22">
        <v>16</v>
      </c>
      <c r="B26" s="23" t="s">
        <v>72</v>
      </c>
      <c r="C26" s="50">
        <f t="shared" si="1"/>
        <v>756.82730197751346</v>
      </c>
      <c r="D26" s="51">
        <f t="shared" si="2"/>
        <v>932.32348794331369</v>
      </c>
      <c r="E26" s="50">
        <f t="shared" si="3"/>
        <v>1101.5519529817639</v>
      </c>
      <c r="F26" s="51">
        <f t="shared" si="4"/>
        <v>1108.6031390250325</v>
      </c>
      <c r="G26" s="50">
        <f t="shared" si="5"/>
        <v>1247.2764645426516</v>
      </c>
      <c r="H26" s="51">
        <f t="shared" si="6"/>
        <v>1418.0718598129392</v>
      </c>
      <c r="I26" s="50">
        <f t="shared" si="7"/>
        <v>1681.3161387616396</v>
      </c>
      <c r="J26" s="51">
        <f t="shared" si="8"/>
        <v>2017.4226734907838</v>
      </c>
      <c r="K26" s="50">
        <f t="shared" si="9"/>
        <v>2475.7497663032527</v>
      </c>
      <c r="L26" s="52">
        <f t="shared" si="0"/>
        <v>2766.0558703073434</v>
      </c>
      <c r="M26" s="42">
        <v>5355831</v>
      </c>
      <c r="N26" s="66" t="s">
        <v>32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5" x14ac:dyDescent="0.2">
      <c r="A27" s="22">
        <v>17</v>
      </c>
      <c r="B27" s="23" t="s">
        <v>73</v>
      </c>
      <c r="C27" s="50">
        <f t="shared" si="1"/>
        <v>772.16839593651707</v>
      </c>
      <c r="D27" s="51">
        <f t="shared" si="2"/>
        <v>951.22193702324569</v>
      </c>
      <c r="E27" s="50">
        <f t="shared" si="3"/>
        <v>1123.8807087854484</v>
      </c>
      <c r="F27" s="51">
        <f t="shared" si="4"/>
        <v>1131.0748242755399</v>
      </c>
      <c r="G27" s="50">
        <f t="shared" si="5"/>
        <v>1272.5590955806783</v>
      </c>
      <c r="H27" s="51">
        <f t="shared" si="6"/>
        <v>1446.8165596740125</v>
      </c>
      <c r="I27" s="50">
        <f t="shared" si="7"/>
        <v>1715.3968713041054</v>
      </c>
      <c r="J27" s="51">
        <f t="shared" si="8"/>
        <v>2058.3163763318134</v>
      </c>
      <c r="K27" s="50">
        <f t="shared" si="9"/>
        <v>2525.9338831877785</v>
      </c>
      <c r="L27" s="52">
        <f t="shared" si="0"/>
        <v>2804.904791170653</v>
      </c>
      <c r="M27" s="42">
        <v>5431053</v>
      </c>
      <c r="N27" s="66" t="s">
        <v>33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15" x14ac:dyDescent="0.2">
      <c r="A28" s="22">
        <v>18</v>
      </c>
      <c r="B28" s="23" t="s">
        <v>74</v>
      </c>
      <c r="C28" s="50">
        <f t="shared" si="1"/>
        <v>787.5094898955208</v>
      </c>
      <c r="D28" s="51">
        <f t="shared" si="2"/>
        <v>970.12038610317768</v>
      </c>
      <c r="E28" s="50">
        <f t="shared" si="3"/>
        <v>1146.2094645891327</v>
      </c>
      <c r="F28" s="51">
        <f t="shared" si="4"/>
        <v>1153.5465095260474</v>
      </c>
      <c r="G28" s="50">
        <f t="shared" si="5"/>
        <v>1297.841726618705</v>
      </c>
      <c r="H28" s="51">
        <f t="shared" si="6"/>
        <v>1475.5612595350856</v>
      </c>
      <c r="I28" s="50">
        <f t="shared" si="7"/>
        <v>1749.4776038465711</v>
      </c>
      <c r="J28" s="51">
        <f t="shared" si="8"/>
        <v>2099.2100791728426</v>
      </c>
      <c r="K28" s="50">
        <f t="shared" si="9"/>
        <v>2576.1180000723039</v>
      </c>
      <c r="L28" s="52">
        <f t="shared" si="0"/>
        <v>2843.7537120339621</v>
      </c>
      <c r="M28" s="42">
        <v>5506275</v>
      </c>
      <c r="N28" s="66" t="s">
        <v>34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5" x14ac:dyDescent="0.2">
      <c r="A29" s="22">
        <v>19</v>
      </c>
      <c r="B29" s="23" t="s">
        <v>75</v>
      </c>
      <c r="C29" s="50">
        <f t="shared" si="1"/>
        <v>802.85058385452442</v>
      </c>
      <c r="D29" s="51">
        <f t="shared" si="2"/>
        <v>989.01883518310979</v>
      </c>
      <c r="E29" s="50">
        <f t="shared" si="3"/>
        <v>1168.538220392817</v>
      </c>
      <c r="F29" s="51">
        <f t="shared" si="4"/>
        <v>1176.0181947765548</v>
      </c>
      <c r="G29" s="50">
        <f t="shared" si="5"/>
        <v>1323.1243576567317</v>
      </c>
      <c r="H29" s="51">
        <f t="shared" si="6"/>
        <v>1504.3059593961586</v>
      </c>
      <c r="I29" s="50">
        <f t="shared" si="7"/>
        <v>1783.5583363890366</v>
      </c>
      <c r="J29" s="51">
        <f t="shared" si="8"/>
        <v>2140.1037820138722</v>
      </c>
      <c r="K29" s="50">
        <f t="shared" si="9"/>
        <v>2626.3021169568292</v>
      </c>
      <c r="L29" s="52">
        <f t="shared" si="0"/>
        <v>2882.6031493541705</v>
      </c>
      <c r="M29" s="42">
        <v>5581498</v>
      </c>
      <c r="N29" s="66" t="s">
        <v>35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15" x14ac:dyDescent="0.2">
      <c r="A30" s="22">
        <v>20</v>
      </c>
      <c r="B30" s="23" t="s">
        <v>76</v>
      </c>
      <c r="C30" s="50">
        <f t="shared" si="1"/>
        <v>818.19167781352803</v>
      </c>
      <c r="D30" s="51">
        <f t="shared" si="2"/>
        <v>1007.9172842630418</v>
      </c>
      <c r="E30" s="50">
        <f t="shared" si="3"/>
        <v>1190.8669761965016</v>
      </c>
      <c r="F30" s="51">
        <f t="shared" si="4"/>
        <v>1198.4898800270623</v>
      </c>
      <c r="G30" s="50">
        <f t="shared" si="5"/>
        <v>1348.4069886947586</v>
      </c>
      <c r="H30" s="51">
        <f t="shared" si="6"/>
        <v>1533.0506592572317</v>
      </c>
      <c r="I30" s="50">
        <f t="shared" si="7"/>
        <v>1817.6390689315024</v>
      </c>
      <c r="J30" s="51">
        <f t="shared" si="8"/>
        <v>2180.9974848549018</v>
      </c>
      <c r="K30" s="50">
        <f t="shared" si="9"/>
        <v>2676.4862338413545</v>
      </c>
      <c r="L30" s="52">
        <f t="shared" si="0"/>
        <v>2921.45207021748</v>
      </c>
      <c r="M30" s="42">
        <v>5656720</v>
      </c>
      <c r="N30" s="66" t="s">
        <v>36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15" x14ac:dyDescent="0.2">
      <c r="A31" s="22">
        <v>21</v>
      </c>
      <c r="B31" s="23" t="s">
        <v>77</v>
      </c>
      <c r="C31" s="50">
        <f t="shared" si="1"/>
        <v>833.53277177253176</v>
      </c>
      <c r="D31" s="51">
        <f t="shared" si="2"/>
        <v>1026.8157333429738</v>
      </c>
      <c r="E31" s="50">
        <f t="shared" si="3"/>
        <v>1213.1957320001859</v>
      </c>
      <c r="F31" s="51">
        <f t="shared" si="4"/>
        <v>1220.9615652775697</v>
      </c>
      <c r="G31" s="50">
        <f t="shared" si="5"/>
        <v>1373.6896197327851</v>
      </c>
      <c r="H31" s="51">
        <f t="shared" si="6"/>
        <v>1561.795359118305</v>
      </c>
      <c r="I31" s="50">
        <f t="shared" si="7"/>
        <v>1851.7198014739679</v>
      </c>
      <c r="J31" s="51">
        <f t="shared" si="8"/>
        <v>2221.891187695931</v>
      </c>
      <c r="K31" s="50">
        <f t="shared" si="9"/>
        <v>2726.6703507258799</v>
      </c>
      <c r="L31" s="52">
        <f t="shared" si="0"/>
        <v>2960.3009910807896</v>
      </c>
      <c r="M31" s="42">
        <v>5731942</v>
      </c>
      <c r="N31" s="66" t="s">
        <v>37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15" x14ac:dyDescent="0.2">
      <c r="A32" s="22">
        <v>22</v>
      </c>
      <c r="B32" s="23" t="s">
        <v>78</v>
      </c>
      <c r="C32" s="50">
        <f t="shared" si="1"/>
        <v>848.87386573153537</v>
      </c>
      <c r="D32" s="51">
        <f t="shared" si="2"/>
        <v>1045.7141824229059</v>
      </c>
      <c r="E32" s="50">
        <f t="shared" si="3"/>
        <v>1235.5244878038702</v>
      </c>
      <c r="F32" s="51">
        <f t="shared" si="4"/>
        <v>1243.4332505280772</v>
      </c>
      <c r="G32" s="50">
        <f t="shared" si="5"/>
        <v>1398.972250770812</v>
      </c>
      <c r="H32" s="51">
        <f t="shared" si="6"/>
        <v>1590.540058979378</v>
      </c>
      <c r="I32" s="50">
        <f t="shared" si="7"/>
        <v>1885.8005340164336</v>
      </c>
      <c r="J32" s="51">
        <f t="shared" si="8"/>
        <v>2262.7848905369601</v>
      </c>
      <c r="K32" s="50">
        <f t="shared" si="9"/>
        <v>2776.8544676104057</v>
      </c>
      <c r="L32" s="52">
        <f t="shared" si="0"/>
        <v>2999.150428400998</v>
      </c>
      <c r="M32" s="42">
        <v>5807165</v>
      </c>
      <c r="N32" s="66" t="s">
        <v>38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ht="15" x14ac:dyDescent="0.2">
      <c r="A33" s="22">
        <v>23</v>
      </c>
      <c r="B33" s="23" t="s">
        <v>79</v>
      </c>
      <c r="C33" s="50">
        <f t="shared" si="1"/>
        <v>864.21495969053899</v>
      </c>
      <c r="D33" s="51">
        <f t="shared" si="2"/>
        <v>1064.6126315028378</v>
      </c>
      <c r="E33" s="50">
        <f t="shared" si="3"/>
        <v>1257.8532436075548</v>
      </c>
      <c r="F33" s="51">
        <f t="shared" si="4"/>
        <v>1265.9049357785846</v>
      </c>
      <c r="G33" s="50">
        <f t="shared" si="5"/>
        <v>1424.2548818088387</v>
      </c>
      <c r="H33" s="51">
        <f t="shared" si="6"/>
        <v>1619.2847588404511</v>
      </c>
      <c r="I33" s="50">
        <f t="shared" si="7"/>
        <v>1919.8812665588994</v>
      </c>
      <c r="J33" s="51">
        <f t="shared" si="8"/>
        <v>2303.6785933779897</v>
      </c>
      <c r="K33" s="50">
        <f t="shared" si="9"/>
        <v>2827.0385844949305</v>
      </c>
      <c r="L33" s="52">
        <f t="shared" si="0"/>
        <v>3037.9993492643071</v>
      </c>
      <c r="M33" s="42">
        <v>5882387</v>
      </c>
      <c r="N33" s="66" t="s">
        <v>39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ht="15" x14ac:dyDescent="0.2">
      <c r="A34" s="22">
        <v>24</v>
      </c>
      <c r="B34" s="23" t="s">
        <v>80</v>
      </c>
      <c r="C34" s="50">
        <f t="shared" si="1"/>
        <v>879.55605364954272</v>
      </c>
      <c r="D34" s="51">
        <f t="shared" si="2"/>
        <v>1083.5110805827699</v>
      </c>
      <c r="E34" s="50">
        <f t="shared" si="3"/>
        <v>1280.1819994112391</v>
      </c>
      <c r="F34" s="51">
        <f t="shared" si="4"/>
        <v>1288.3766210290919</v>
      </c>
      <c r="G34" s="50">
        <f t="shared" si="5"/>
        <v>1449.5375128468654</v>
      </c>
      <c r="H34" s="51">
        <f t="shared" si="6"/>
        <v>1648.0294587015242</v>
      </c>
      <c r="I34" s="50">
        <f t="shared" si="7"/>
        <v>1953.9619991013651</v>
      </c>
      <c r="J34" s="51">
        <f t="shared" si="8"/>
        <v>2344.5722962190193</v>
      </c>
      <c r="K34" s="50">
        <f t="shared" si="9"/>
        <v>2877.2227013794563</v>
      </c>
      <c r="L34" s="52">
        <f t="shared" si="0"/>
        <v>3076.8482701276166</v>
      </c>
      <c r="M34" s="42">
        <v>5957609</v>
      </c>
      <c r="N34" s="66" t="s">
        <v>40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ht="15" x14ac:dyDescent="0.2">
      <c r="A35" s="22">
        <v>25</v>
      </c>
      <c r="B35" s="23" t="s">
        <v>81</v>
      </c>
      <c r="C35" s="50">
        <f t="shared" si="1"/>
        <v>894.89714760854633</v>
      </c>
      <c r="D35" s="51">
        <f t="shared" si="2"/>
        <v>1102.409529662702</v>
      </c>
      <c r="E35" s="50">
        <f t="shared" si="3"/>
        <v>1302.5107552149234</v>
      </c>
      <c r="F35" s="51">
        <f t="shared" si="4"/>
        <v>1310.8483062795995</v>
      </c>
      <c r="G35" s="50">
        <f t="shared" si="5"/>
        <v>1474.8201438848921</v>
      </c>
      <c r="H35" s="51">
        <f t="shared" si="6"/>
        <v>1676.7741585625972</v>
      </c>
      <c r="I35" s="50">
        <f t="shared" si="7"/>
        <v>1988.0427316438306</v>
      </c>
      <c r="J35" s="51">
        <f t="shared" si="8"/>
        <v>2385.4659990600485</v>
      </c>
      <c r="K35" s="50">
        <f t="shared" si="9"/>
        <v>2927.4068182639812</v>
      </c>
      <c r="L35" s="52">
        <f t="shared" si="0"/>
        <v>3115.697707447825</v>
      </c>
      <c r="M35" s="42">
        <v>6032832</v>
      </c>
      <c r="N35" s="66" t="s">
        <v>43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</sheetData>
  <printOptions horizontalCentered="1" verticalCentered="1"/>
  <pageMargins left="0.78749999999999998" right="0.78749999999999998" top="0.98402777777777795" bottom="0.78749999999999998" header="0.51180555555555496" footer="0.51180555555555496"/>
  <pageSetup paperSize="0" scale="0" firstPageNumber="0" orientation="portrait" usePrinterDefaults="0" horizontalDpi="0" verticalDpi="0" copies="0"/>
  <headerFooter>
    <oddHeader>&amp;C&amp;"Comic Sans MS,Fett"Gehaltstabellen von 01.01.1995 bis 31.12.1995 / Tabelle stipendiali dal 01.01.1995 al 31.12.1995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zoomScaleNormal="100" workbookViewId="0">
      <selection activeCell="B1" sqref="B1"/>
    </sheetView>
  </sheetViews>
  <sheetFormatPr baseColWidth="10" defaultColWidth="9.140625" defaultRowHeight="12.75" x14ac:dyDescent="0.2"/>
  <cols>
    <col min="1" max="1" width="25"/>
    <col min="2" max="10" width="14.42578125"/>
    <col min="11" max="256" width="11.28515625"/>
    <col min="257" max="1025" width="11.5703125"/>
  </cols>
  <sheetData>
    <row r="1" spans="1:256" x14ac:dyDescent="0.2">
      <c r="A1" s="1"/>
      <c r="B1" s="2"/>
      <c r="C1" s="3"/>
      <c r="D1" s="2"/>
      <c r="E1" s="3"/>
      <c r="F1" s="2"/>
      <c r="G1" s="3"/>
      <c r="H1" s="2"/>
      <c r="I1" s="3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x14ac:dyDescent="0.25">
      <c r="A2" s="39"/>
      <c r="B2" s="9" t="s">
        <v>44</v>
      </c>
      <c r="C2" s="40" t="s">
        <v>45</v>
      </c>
      <c r="D2" s="9" t="s">
        <v>46</v>
      </c>
      <c r="E2" s="40" t="s">
        <v>47</v>
      </c>
      <c r="F2" s="9" t="s">
        <v>48</v>
      </c>
      <c r="G2" s="40" t="s">
        <v>49</v>
      </c>
      <c r="H2" s="9" t="s">
        <v>50</v>
      </c>
      <c r="I2" s="40" t="s">
        <v>51</v>
      </c>
      <c r="J2" s="9" t="s">
        <v>52</v>
      </c>
      <c r="K2" s="70"/>
      <c r="L2" s="7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" x14ac:dyDescent="0.2">
      <c r="A3" s="13" t="s">
        <v>10</v>
      </c>
      <c r="B3" s="14"/>
      <c r="C3" s="15"/>
      <c r="D3" s="14"/>
      <c r="E3" s="15"/>
      <c r="F3" s="14"/>
      <c r="G3" s="15"/>
      <c r="H3" s="14"/>
      <c r="I3" s="15"/>
      <c r="J3" s="14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15.75" x14ac:dyDescent="0.25">
      <c r="A4" s="18" t="s">
        <v>11</v>
      </c>
      <c r="B4" s="19">
        <v>797091</v>
      </c>
      <c r="C4" s="20">
        <v>980792</v>
      </c>
      <c r="D4" s="19">
        <v>1143377</v>
      </c>
      <c r="E4" s="20">
        <v>1150768</v>
      </c>
      <c r="F4" s="19">
        <v>1295405</v>
      </c>
      <c r="G4" s="20">
        <v>1445322</v>
      </c>
      <c r="H4" s="19">
        <v>1714538</v>
      </c>
      <c r="I4" s="20">
        <v>2094608</v>
      </c>
      <c r="J4" s="19">
        <v>2502128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15" x14ac:dyDescent="0.2">
      <c r="A5" s="23" t="s">
        <v>53</v>
      </c>
      <c r="B5" s="24">
        <v>844917</v>
      </c>
      <c r="C5" s="25">
        <v>1039639</v>
      </c>
      <c r="D5" s="24">
        <f>(D4*0.06*1)+D4</f>
        <v>1211979.6200000001</v>
      </c>
      <c r="E5" s="25">
        <f>(E4*0.06*1)+E4</f>
        <v>1219814.08</v>
      </c>
      <c r="F5" s="24">
        <v>1373130</v>
      </c>
      <c r="G5" s="25">
        <f>(G4*0.06*1)+G4</f>
        <v>1532041.32</v>
      </c>
      <c r="H5" s="24">
        <f>(H4*0.06*1)+H4</f>
        <v>1817410.28</v>
      </c>
      <c r="I5" s="25">
        <f>(I4*0.06*1)+I4</f>
        <v>2220284.48</v>
      </c>
      <c r="J5" s="24">
        <v>1652255</v>
      </c>
      <c r="K5" s="7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15" x14ac:dyDescent="0.2">
      <c r="A6" s="23" t="s">
        <v>54</v>
      </c>
      <c r="B6" s="24">
        <f>(B4*0.06*2)+B4</f>
        <v>892741.92</v>
      </c>
      <c r="C6" s="25">
        <f>(C4*0.06*2)+C4</f>
        <v>1098487.04</v>
      </c>
      <c r="D6" s="24">
        <v>1280583</v>
      </c>
      <c r="E6" s="25">
        <f>(E4*0.06*2)+E4</f>
        <v>1288860.1599999999</v>
      </c>
      <c r="F6" s="24">
        <f>(F4*0.06*2)+F4</f>
        <v>1450853.6</v>
      </c>
      <c r="G6" s="25">
        <v>1618760</v>
      </c>
      <c r="H6" s="24">
        <f>(H4*0.06*2)+H4</f>
        <v>1920282.56</v>
      </c>
      <c r="I6" s="25">
        <f>(I4*0.06*2)+I4</f>
        <v>2345960.96</v>
      </c>
      <c r="J6" s="24">
        <f>(J4*0.06*2)+J4</f>
        <v>2802383.36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15" x14ac:dyDescent="0.2">
      <c r="A7" s="23" t="s">
        <v>55</v>
      </c>
      <c r="B7" s="24">
        <v>940568</v>
      </c>
      <c r="C7" s="25">
        <v>1157334</v>
      </c>
      <c r="D7" s="24">
        <f t="shared" ref="D7:I7" si="0">(D4*0.06*3)+D4</f>
        <v>1349184.8599999999</v>
      </c>
      <c r="E7" s="25">
        <f t="shared" si="0"/>
        <v>1357906.24</v>
      </c>
      <c r="F7" s="24">
        <f t="shared" si="0"/>
        <v>1528577.9</v>
      </c>
      <c r="G7" s="25">
        <f t="shared" si="0"/>
        <v>1705479.96</v>
      </c>
      <c r="H7" s="24">
        <f t="shared" si="0"/>
        <v>2023154.8399999999</v>
      </c>
      <c r="I7" s="25">
        <f t="shared" si="0"/>
        <v>2471637.44</v>
      </c>
      <c r="J7" s="24">
        <v>2952510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ht="15" x14ac:dyDescent="0.2">
      <c r="A8" s="22"/>
      <c r="B8" s="37"/>
      <c r="C8" s="38"/>
      <c r="D8" s="37"/>
      <c r="E8" s="38"/>
      <c r="F8" s="37"/>
      <c r="G8" s="38"/>
      <c r="H8" s="37"/>
      <c r="I8" s="38"/>
      <c r="J8" s="37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ht="15" x14ac:dyDescent="0.2">
      <c r="A9" s="12" t="s">
        <v>56</v>
      </c>
      <c r="B9" s="44"/>
      <c r="C9" s="45"/>
      <c r="D9" s="44"/>
      <c r="E9" s="45"/>
      <c r="F9" s="44"/>
      <c r="G9" s="45"/>
      <c r="H9" s="44"/>
      <c r="I9" s="45"/>
      <c r="J9" s="44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spans="1:256" ht="15.75" x14ac:dyDescent="0.25">
      <c r="A10" s="18" t="s">
        <v>11</v>
      </c>
      <c r="B10" s="19">
        <v>1019855</v>
      </c>
      <c r="C10" s="20">
        <v>1256343</v>
      </c>
      <c r="D10" s="19">
        <v>1484385</v>
      </c>
      <c r="E10" s="20">
        <v>1493886</v>
      </c>
      <c r="F10" s="19">
        <v>1680754</v>
      </c>
      <c r="G10" s="20">
        <v>1910908</v>
      </c>
      <c r="H10" s="19">
        <v>2265640</v>
      </c>
      <c r="I10" s="20">
        <v>2718556</v>
      </c>
      <c r="J10" s="19">
        <v>3336170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ht="15" x14ac:dyDescent="0.2">
      <c r="A11" s="23" t="s">
        <v>57</v>
      </c>
      <c r="B11" s="24">
        <v>1050450</v>
      </c>
      <c r="C11" s="25">
        <v>1294033</v>
      </c>
      <c r="D11" s="24">
        <v>1528916</v>
      </c>
      <c r="E11" s="25">
        <f t="shared" ref="E11:J11" si="1">(E10*0.03*1)+E10</f>
        <v>1538702.58</v>
      </c>
      <c r="F11" s="24">
        <f t="shared" si="1"/>
        <v>1731176.62</v>
      </c>
      <c r="G11" s="25">
        <f t="shared" si="1"/>
        <v>1968235.24</v>
      </c>
      <c r="H11" s="24">
        <f t="shared" si="1"/>
        <v>2333609.2000000002</v>
      </c>
      <c r="I11" s="25">
        <f t="shared" si="1"/>
        <v>2800112.68</v>
      </c>
      <c r="J11" s="24">
        <f t="shared" si="1"/>
        <v>3436255.1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" x14ac:dyDescent="0.2">
      <c r="A12" s="23" t="s">
        <v>58</v>
      </c>
      <c r="B12" s="24">
        <f>(B10*0.03*2)+B10</f>
        <v>1081046.3</v>
      </c>
      <c r="C12" s="25">
        <v>1331723</v>
      </c>
      <c r="D12" s="24">
        <f>(D10*0.03*2)+D10</f>
        <v>1573448.1</v>
      </c>
      <c r="E12" s="25">
        <f>(E10*0.03*2)+E10</f>
        <v>1583519.16</v>
      </c>
      <c r="F12" s="24">
        <f>(F10*0.03*2)+F10</f>
        <v>1781599.24</v>
      </c>
      <c r="G12" s="25">
        <f>(G10*0.03*2)+G10</f>
        <v>2025562.48</v>
      </c>
      <c r="H12" s="24">
        <f>(H10*0.03*2)+H10</f>
        <v>2401578.4</v>
      </c>
      <c r="I12" s="25">
        <v>2881670</v>
      </c>
      <c r="J12" s="24">
        <f>(J10*0.03*2)+J10</f>
        <v>3536340.2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ht="15" x14ac:dyDescent="0.2">
      <c r="A13" s="23" t="s">
        <v>59</v>
      </c>
      <c r="B13" s="24">
        <v>1111641</v>
      </c>
      <c r="C13" s="25">
        <v>1369413</v>
      </c>
      <c r="D13" s="24">
        <v>1617979</v>
      </c>
      <c r="E13" s="25">
        <f>(E10*0.03*3)+E10</f>
        <v>1628335.74</v>
      </c>
      <c r="F13" s="24">
        <f>(F10*0.03*3)+F10</f>
        <v>1832021.8599999999</v>
      </c>
      <c r="G13" s="25">
        <v>2082889</v>
      </c>
      <c r="H13" s="24">
        <v>2469547</v>
      </c>
      <c r="I13" s="25">
        <f>(I10*0.03*3)+I10</f>
        <v>2963226.04</v>
      </c>
      <c r="J13" s="24">
        <f>(J10*0.03*3)+J10</f>
        <v>3636425.3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15" x14ac:dyDescent="0.2">
      <c r="A14" s="23" t="s">
        <v>60</v>
      </c>
      <c r="B14" s="24">
        <v>1142237</v>
      </c>
      <c r="C14" s="25">
        <f>(C10*0.03*4)+C10</f>
        <v>1407104.16</v>
      </c>
      <c r="D14" s="24">
        <f>(D10*0.03*4)+D10</f>
        <v>1662511.2</v>
      </c>
      <c r="E14" s="25">
        <v>1673153</v>
      </c>
      <c r="F14" s="24">
        <f>(F10*0.03*4)+F10</f>
        <v>1882444.48</v>
      </c>
      <c r="G14" s="25">
        <v>2140216</v>
      </c>
      <c r="H14" s="24">
        <v>2537516</v>
      </c>
      <c r="I14" s="25">
        <f>(I10*0.03*4)+I10</f>
        <v>3044782.7199999997</v>
      </c>
      <c r="J14" s="24">
        <f>(J10*0.03*4)+J10</f>
        <v>3736510.4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5" x14ac:dyDescent="0.2">
      <c r="A15" s="23" t="s">
        <v>61</v>
      </c>
      <c r="B15" s="24">
        <f>(B10*0.03*5)+B10</f>
        <v>1172833.25</v>
      </c>
      <c r="C15" s="25">
        <f>(C10*0.03*5)+C10</f>
        <v>1444794.45</v>
      </c>
      <c r="D15" s="24">
        <v>1707042</v>
      </c>
      <c r="E15" s="25">
        <f>(E10*0.03*5)+E10</f>
        <v>1717968.9</v>
      </c>
      <c r="F15" s="24">
        <f>(F10*0.03*5)+F10</f>
        <v>1932867.1</v>
      </c>
      <c r="G15" s="25">
        <f>(G10*0.03*5)+G10</f>
        <v>2197544.2000000002</v>
      </c>
      <c r="H15" s="24">
        <v>2605485</v>
      </c>
      <c r="I15" s="25">
        <v>3126340</v>
      </c>
      <c r="J15" s="24">
        <f>(J10*0.03*5)+J10</f>
        <v>3836595.5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15" x14ac:dyDescent="0.2">
      <c r="A16" s="23" t="s">
        <v>62</v>
      </c>
      <c r="B16" s="24">
        <v>1203428</v>
      </c>
      <c r="C16" s="25">
        <v>1482484</v>
      </c>
      <c r="D16" s="24">
        <f>(D10*0.03*6)+D10</f>
        <v>1751574.3</v>
      </c>
      <c r="E16" s="25">
        <v>1762786</v>
      </c>
      <c r="F16" s="24">
        <f>(F10*0.03*6)+F10</f>
        <v>1983289.72</v>
      </c>
      <c r="G16" s="25">
        <f>(G10*0.03*6)+G10</f>
        <v>2254871.44</v>
      </c>
      <c r="H16" s="24">
        <f>(H10*0.03*6)+H10</f>
        <v>2673455.2000000002</v>
      </c>
      <c r="I16" s="25">
        <f>(I10*0.03*6)+I10</f>
        <v>3207896.08</v>
      </c>
      <c r="J16" s="24">
        <f>(J10*0.03*6)+J10</f>
        <v>3936680.6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5" x14ac:dyDescent="0.2">
      <c r="A17" s="23" t="s">
        <v>63</v>
      </c>
      <c r="B17" s="24">
        <v>1234024</v>
      </c>
      <c r="C17" s="25">
        <v>1520174</v>
      </c>
      <c r="D17" s="24">
        <v>1796105</v>
      </c>
      <c r="E17" s="25">
        <f>(E10*0.03*7)+E10</f>
        <v>1807602.06</v>
      </c>
      <c r="F17" s="24">
        <f>(F10*0.03*7)+F10</f>
        <v>2033712.3399999999</v>
      </c>
      <c r="G17" s="25">
        <v>2312198</v>
      </c>
      <c r="H17" s="24">
        <f>(H10*0.03*7)+H10</f>
        <v>2741424.4</v>
      </c>
      <c r="I17" s="25">
        <f>(I10*0.03*7)+I10</f>
        <v>3289452.76</v>
      </c>
      <c r="J17" s="24">
        <f>(J10*0.03*7)+J10</f>
        <v>4036765.7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5" x14ac:dyDescent="0.2">
      <c r="A18" s="23" t="s">
        <v>64</v>
      </c>
      <c r="B18" s="24">
        <f>(B10*0.03*8)+B10</f>
        <v>1264620.2</v>
      </c>
      <c r="C18" s="25">
        <f>(C10*0.03*8)+C10</f>
        <v>1557865.32</v>
      </c>
      <c r="D18" s="24">
        <f>(D10*0.03*8)+D10</f>
        <v>1840637.4</v>
      </c>
      <c r="E18" s="25">
        <f>(E10*0.03*8)+E10</f>
        <v>1852418.6400000001</v>
      </c>
      <c r="F18" s="24">
        <f>(F10*0.03*8)+F10</f>
        <v>2084134.96</v>
      </c>
      <c r="G18" s="25">
        <v>2369525</v>
      </c>
      <c r="H18" s="24">
        <v>2809393</v>
      </c>
      <c r="I18" s="25">
        <v>3371010</v>
      </c>
      <c r="J18" s="24">
        <f>(J10*0.03*8)+J10</f>
        <v>4136850.8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15" x14ac:dyDescent="0.2">
      <c r="A19" s="23" t="s">
        <v>65</v>
      </c>
      <c r="B19" s="24">
        <v>1295215</v>
      </c>
      <c r="C19" s="25">
        <v>1595555</v>
      </c>
      <c r="D19" s="24">
        <v>1885168</v>
      </c>
      <c r="E19" s="25">
        <v>1897236</v>
      </c>
      <c r="F19" s="24">
        <f>(F10*0.03*9)+F10</f>
        <v>2134557.58</v>
      </c>
      <c r="G19" s="25">
        <f>(G10*0.03*9)+G10</f>
        <v>2426853.16</v>
      </c>
      <c r="H19" s="24">
        <v>2877362</v>
      </c>
      <c r="I19" s="25">
        <f>(I10*0.03*9)+I10</f>
        <v>3452566.12</v>
      </c>
      <c r="J19" s="24">
        <f>(J10*0.03*9)+J10</f>
        <v>4236935.9000000004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15" x14ac:dyDescent="0.2">
      <c r="A20" s="23" t="s">
        <v>66</v>
      </c>
      <c r="B20" s="24">
        <v>1325811</v>
      </c>
      <c r="C20" s="25">
        <v>1633245</v>
      </c>
      <c r="D20" s="24">
        <v>1929700</v>
      </c>
      <c r="E20" s="25">
        <f>(E10*0.03*10)+E10</f>
        <v>1942051.8</v>
      </c>
      <c r="F20" s="24">
        <f>(F10*0.03*10)+F10</f>
        <v>2184980.2000000002</v>
      </c>
      <c r="G20" s="25">
        <f>(G10*0.03*10)+G10</f>
        <v>2484180.4</v>
      </c>
      <c r="H20" s="24">
        <v>2945331</v>
      </c>
      <c r="I20" s="25">
        <f>(I10*0.03*10)+I10</f>
        <v>3534122.8</v>
      </c>
      <c r="J20" s="24">
        <f>(J10*0.03*10)+J10</f>
        <v>4337021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15" x14ac:dyDescent="0.2">
      <c r="A21" s="23" t="s">
        <v>67</v>
      </c>
      <c r="B21" s="24">
        <v>1356406</v>
      </c>
      <c r="C21" s="25">
        <f>(C10*0.03*11)+C10</f>
        <v>1670936.19</v>
      </c>
      <c r="D21" s="24">
        <v>1974231</v>
      </c>
      <c r="E21" s="25">
        <v>1986869</v>
      </c>
      <c r="F21" s="24">
        <f>(F10*0.03*11)+F10</f>
        <v>2235402.8199999998</v>
      </c>
      <c r="G21" s="25">
        <v>2541507</v>
      </c>
      <c r="H21" s="24">
        <f>(H10*0.03*11)+H10</f>
        <v>3013301.2</v>
      </c>
      <c r="I21" s="25">
        <v>3615680</v>
      </c>
      <c r="J21" s="24">
        <f>(J10*0.03*11)+J10</f>
        <v>4437106.0999999996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15" x14ac:dyDescent="0.2">
      <c r="A22" s="23" t="s">
        <v>68</v>
      </c>
      <c r="B22" s="24">
        <v>1387002</v>
      </c>
      <c r="C22" s="25">
        <f>(C10*0.03*12)+C10</f>
        <v>1708626.48</v>
      </c>
      <c r="D22" s="24">
        <v>2018763</v>
      </c>
      <c r="E22" s="25">
        <f>(E10*0.03*12)+E10</f>
        <v>2031684.96</v>
      </c>
      <c r="F22" s="24">
        <f>(F10*0.03*12)+F10</f>
        <v>2285825.44</v>
      </c>
      <c r="G22" s="25">
        <v>2598834</v>
      </c>
      <c r="H22" s="24">
        <f>(H10*0.03*12)+H10</f>
        <v>3081270.4</v>
      </c>
      <c r="I22" s="25">
        <v>3697237</v>
      </c>
      <c r="J22" s="24">
        <f>(J10*0.03*12)+J10</f>
        <v>4537191.2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15" x14ac:dyDescent="0.2">
      <c r="A23" s="23" t="s">
        <v>69</v>
      </c>
      <c r="B23" s="24">
        <f>(B10*0.03*13)+B10</f>
        <v>1417598.45</v>
      </c>
      <c r="C23" s="25">
        <v>1746316</v>
      </c>
      <c r="D23" s="24">
        <v>2063294</v>
      </c>
      <c r="E23" s="25">
        <f>(E10*0.03*13)+E10</f>
        <v>2076501.54</v>
      </c>
      <c r="F23" s="24">
        <f>(F10*0.03*13)+F10</f>
        <v>2336248.06</v>
      </c>
      <c r="G23" s="25">
        <v>2656161</v>
      </c>
      <c r="H23" s="24">
        <v>3149239</v>
      </c>
      <c r="I23" s="25">
        <f>(I10*0.03*13)+I10</f>
        <v>3778792.84</v>
      </c>
      <c r="J23" s="24">
        <f>(J10*0.03*13)+J10</f>
        <v>4637276.3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15" x14ac:dyDescent="0.2">
      <c r="A24" s="23" t="s">
        <v>70</v>
      </c>
      <c r="B24" s="24">
        <v>1448193</v>
      </c>
      <c r="C24" s="25">
        <v>1784006</v>
      </c>
      <c r="D24" s="24">
        <v>2107826</v>
      </c>
      <c r="E24" s="25">
        <f>(E10*0.03*14)+E10</f>
        <v>2121318.12</v>
      </c>
      <c r="F24" s="24">
        <f>(F10*0.03*14)+F10</f>
        <v>2386670.6799999997</v>
      </c>
      <c r="G24" s="25">
        <f>(G10*0.03*14)+G10</f>
        <v>2713489.36</v>
      </c>
      <c r="H24" s="24">
        <v>3217208</v>
      </c>
      <c r="I24" s="25">
        <f>(I10*0.03*14)+I10</f>
        <v>3860349.52</v>
      </c>
      <c r="J24" s="24">
        <f>(J10*0.03*14)+J10</f>
        <v>4737361.4000000004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5" x14ac:dyDescent="0.2">
      <c r="A25" s="23" t="s">
        <v>71</v>
      </c>
      <c r="B25" s="24">
        <v>1478789</v>
      </c>
      <c r="C25" s="25">
        <f>(C10*0.03*15)+C10</f>
        <v>1821697.35</v>
      </c>
      <c r="D25" s="24">
        <f>(D10*0.03*15)+D10</f>
        <v>2152358.25</v>
      </c>
      <c r="E25" s="25">
        <f>(E10*0.03*15)+E10</f>
        <v>2166134.7000000002</v>
      </c>
      <c r="F25" s="24">
        <f>(F10*0.03*15)+F10</f>
        <v>2437093.2999999998</v>
      </c>
      <c r="G25" s="25">
        <v>2770816</v>
      </c>
      <c r="H25" s="24">
        <v>3285177</v>
      </c>
      <c r="I25" s="25">
        <v>3941907</v>
      </c>
      <c r="J25" s="24">
        <f>(J10*0.03*15)+J10</f>
        <v>4837446.5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15" x14ac:dyDescent="0.2">
      <c r="A26" s="23" t="s">
        <v>72</v>
      </c>
      <c r="B26" s="24">
        <f>(B10*0.03*16)+B10</f>
        <v>1509385.4</v>
      </c>
      <c r="C26" s="25">
        <v>1859387</v>
      </c>
      <c r="D26" s="24">
        <v>2196889</v>
      </c>
      <c r="E26" s="25">
        <v>2210952</v>
      </c>
      <c r="F26" s="24">
        <f>(F10*0.03*16)+F10</f>
        <v>2487515.92</v>
      </c>
      <c r="G26" s="25">
        <v>2828143</v>
      </c>
      <c r="H26" s="24">
        <v>3353146</v>
      </c>
      <c r="I26" s="25">
        <f>(I10*0.03*16)+I10</f>
        <v>4023462.88</v>
      </c>
      <c r="J26" s="24">
        <f>(J10*0.03*16)+J10</f>
        <v>4937531.5999999996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5" x14ac:dyDescent="0.2">
      <c r="A27" s="23" t="s">
        <v>73</v>
      </c>
      <c r="B27" s="24">
        <f t="shared" ref="B27:J27" si="2">(B10*0.03*17)+B10</f>
        <v>1539981.05</v>
      </c>
      <c r="C27" s="25">
        <f t="shared" si="2"/>
        <v>1897077.9300000002</v>
      </c>
      <c r="D27" s="24">
        <f t="shared" si="2"/>
        <v>2241421.35</v>
      </c>
      <c r="E27" s="25">
        <f t="shared" si="2"/>
        <v>2255767.86</v>
      </c>
      <c r="F27" s="24">
        <f t="shared" si="2"/>
        <v>2537938.54</v>
      </c>
      <c r="G27" s="25">
        <f t="shared" si="2"/>
        <v>2885471.08</v>
      </c>
      <c r="H27" s="24">
        <f t="shared" si="2"/>
        <v>3421116.4</v>
      </c>
      <c r="I27" s="25">
        <f t="shared" si="2"/>
        <v>4105019.5599999996</v>
      </c>
      <c r="J27" s="24">
        <f t="shared" si="2"/>
        <v>5037616.7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15" x14ac:dyDescent="0.2">
      <c r="A28" s="23" t="s">
        <v>74</v>
      </c>
      <c r="B28" s="24">
        <f t="shared" ref="B28:J28" si="3">(B10*0.03*18)+B10</f>
        <v>1570576.7</v>
      </c>
      <c r="C28" s="25">
        <f t="shared" si="3"/>
        <v>1934768.22</v>
      </c>
      <c r="D28" s="24">
        <f t="shared" si="3"/>
        <v>2285952.9</v>
      </c>
      <c r="E28" s="25">
        <f t="shared" si="3"/>
        <v>2300584.44</v>
      </c>
      <c r="F28" s="24">
        <f t="shared" si="3"/>
        <v>2588361.16</v>
      </c>
      <c r="G28" s="25">
        <f t="shared" si="3"/>
        <v>2942798.32</v>
      </c>
      <c r="H28" s="24">
        <f t="shared" si="3"/>
        <v>3489085.5999999996</v>
      </c>
      <c r="I28" s="25">
        <f t="shared" si="3"/>
        <v>4186576.2399999998</v>
      </c>
      <c r="J28" s="24">
        <f t="shared" si="3"/>
        <v>5137701.8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5" x14ac:dyDescent="0.2">
      <c r="A29" s="23" t="s">
        <v>75</v>
      </c>
      <c r="B29" s="24">
        <f t="shared" ref="B29:J29" si="4">(B10*0.03*19)+B10</f>
        <v>1601172.35</v>
      </c>
      <c r="C29" s="25">
        <f t="shared" si="4"/>
        <v>1972458.51</v>
      </c>
      <c r="D29" s="24">
        <f t="shared" si="4"/>
        <v>2330484.4500000002</v>
      </c>
      <c r="E29" s="25">
        <f t="shared" si="4"/>
        <v>2345401.02</v>
      </c>
      <c r="F29" s="24">
        <f t="shared" si="4"/>
        <v>2638783.7799999998</v>
      </c>
      <c r="G29" s="25">
        <f t="shared" si="4"/>
        <v>3000125.56</v>
      </c>
      <c r="H29" s="24">
        <f t="shared" si="4"/>
        <v>3557054.8</v>
      </c>
      <c r="I29" s="25">
        <f t="shared" si="4"/>
        <v>4268132.92</v>
      </c>
      <c r="J29" s="24">
        <f t="shared" si="4"/>
        <v>5237786.9000000004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15" x14ac:dyDescent="0.2">
      <c r="A30" s="23" t="s">
        <v>76</v>
      </c>
      <c r="B30" s="24">
        <f t="shared" ref="B30:J30" si="5">(B10*0.03*20)+B10</f>
        <v>1631768</v>
      </c>
      <c r="C30" s="25">
        <f t="shared" si="5"/>
        <v>2010148.8</v>
      </c>
      <c r="D30" s="24">
        <f t="shared" si="5"/>
        <v>2375016</v>
      </c>
      <c r="E30" s="25">
        <f t="shared" si="5"/>
        <v>2390217.6</v>
      </c>
      <c r="F30" s="24">
        <f t="shared" si="5"/>
        <v>2689206.4</v>
      </c>
      <c r="G30" s="25">
        <f t="shared" si="5"/>
        <v>3057452.8</v>
      </c>
      <c r="H30" s="24">
        <f t="shared" si="5"/>
        <v>3625024</v>
      </c>
      <c r="I30" s="25">
        <f t="shared" si="5"/>
        <v>4349689.5999999996</v>
      </c>
      <c r="J30" s="24">
        <f t="shared" si="5"/>
        <v>5337872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15" x14ac:dyDescent="0.2">
      <c r="A31" s="23" t="s">
        <v>77</v>
      </c>
      <c r="B31" s="24">
        <f t="shared" ref="B31:J31" si="6">(B10*0.03*21)+B10</f>
        <v>1662363.65</v>
      </c>
      <c r="C31" s="25">
        <f t="shared" si="6"/>
        <v>2047839.0899999999</v>
      </c>
      <c r="D31" s="24">
        <f t="shared" si="6"/>
        <v>2419547.5499999998</v>
      </c>
      <c r="E31" s="25">
        <f t="shared" si="6"/>
        <v>2435034.1800000002</v>
      </c>
      <c r="F31" s="24">
        <f t="shared" si="6"/>
        <v>2739629.02</v>
      </c>
      <c r="G31" s="25">
        <f t="shared" si="6"/>
        <v>3114780.04</v>
      </c>
      <c r="H31" s="24">
        <f t="shared" si="6"/>
        <v>3692993.2</v>
      </c>
      <c r="I31" s="25">
        <f t="shared" si="6"/>
        <v>4431246.2799999993</v>
      </c>
      <c r="J31" s="24">
        <f t="shared" si="6"/>
        <v>5437957.0999999996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15" x14ac:dyDescent="0.2">
      <c r="A32" s="23" t="s">
        <v>78</v>
      </c>
      <c r="B32" s="24">
        <f t="shared" ref="B32:J32" si="7">(B10*0.03*22)+B10</f>
        <v>1692959.2999999998</v>
      </c>
      <c r="C32" s="25">
        <f t="shared" si="7"/>
        <v>2085529.38</v>
      </c>
      <c r="D32" s="24">
        <f t="shared" si="7"/>
        <v>2464079.0999999996</v>
      </c>
      <c r="E32" s="25">
        <f t="shared" si="7"/>
        <v>2479850.7599999998</v>
      </c>
      <c r="F32" s="24">
        <f t="shared" si="7"/>
        <v>2790051.6399999997</v>
      </c>
      <c r="G32" s="25">
        <f t="shared" si="7"/>
        <v>3172107.2800000003</v>
      </c>
      <c r="H32" s="24">
        <f t="shared" si="7"/>
        <v>3760962.4</v>
      </c>
      <c r="I32" s="25">
        <f t="shared" si="7"/>
        <v>4512802.96</v>
      </c>
      <c r="J32" s="24">
        <f t="shared" si="7"/>
        <v>5538042.1999999993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ht="15" x14ac:dyDescent="0.2">
      <c r="A33" s="23" t="s">
        <v>79</v>
      </c>
      <c r="B33" s="24">
        <f t="shared" ref="B33:J33" si="8">(B10*0.03*23)+B10</f>
        <v>1723554.95</v>
      </c>
      <c r="C33" s="25">
        <f t="shared" si="8"/>
        <v>2123219.67</v>
      </c>
      <c r="D33" s="24">
        <f t="shared" si="8"/>
        <v>2508610.65</v>
      </c>
      <c r="E33" s="25">
        <f t="shared" si="8"/>
        <v>2524667.34</v>
      </c>
      <c r="F33" s="24">
        <f t="shared" si="8"/>
        <v>2840474.26</v>
      </c>
      <c r="G33" s="25">
        <f t="shared" si="8"/>
        <v>3229434.52</v>
      </c>
      <c r="H33" s="24">
        <f t="shared" si="8"/>
        <v>3828931.5999999996</v>
      </c>
      <c r="I33" s="25">
        <f t="shared" si="8"/>
        <v>4594359.6399999997</v>
      </c>
      <c r="J33" s="24">
        <f t="shared" si="8"/>
        <v>5638127.2999999998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ht="15" x14ac:dyDescent="0.2">
      <c r="A34" s="23" t="s">
        <v>80</v>
      </c>
      <c r="B34" s="24">
        <f t="shared" ref="B34:J34" si="9">(B10*0.03*24)+B10</f>
        <v>1754150.6</v>
      </c>
      <c r="C34" s="25">
        <f t="shared" si="9"/>
        <v>2160909.96</v>
      </c>
      <c r="D34" s="24">
        <f t="shared" si="9"/>
        <v>2553142.2000000002</v>
      </c>
      <c r="E34" s="25">
        <f t="shared" si="9"/>
        <v>2569483.92</v>
      </c>
      <c r="F34" s="24">
        <f t="shared" si="9"/>
        <v>2890896.88</v>
      </c>
      <c r="G34" s="25">
        <f t="shared" si="9"/>
        <v>3286761.76</v>
      </c>
      <c r="H34" s="24">
        <f t="shared" si="9"/>
        <v>3896900.8</v>
      </c>
      <c r="I34" s="25">
        <f t="shared" si="9"/>
        <v>4675916.32</v>
      </c>
      <c r="J34" s="24">
        <f t="shared" si="9"/>
        <v>5738212.4000000004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ht="15" x14ac:dyDescent="0.2">
      <c r="A35" s="23" t="s">
        <v>81</v>
      </c>
      <c r="B35" s="24">
        <f t="shared" ref="B35:J35" si="10">(B10*0.03*25)+B10</f>
        <v>1784746.25</v>
      </c>
      <c r="C35" s="25">
        <f t="shared" si="10"/>
        <v>2198600.25</v>
      </c>
      <c r="D35" s="24">
        <f t="shared" si="10"/>
        <v>2597673.75</v>
      </c>
      <c r="E35" s="25">
        <f t="shared" si="10"/>
        <v>2614300.5</v>
      </c>
      <c r="F35" s="24">
        <f t="shared" si="10"/>
        <v>2941319.5</v>
      </c>
      <c r="G35" s="25">
        <f t="shared" si="10"/>
        <v>3344089</v>
      </c>
      <c r="H35" s="24">
        <f t="shared" si="10"/>
        <v>3964870</v>
      </c>
      <c r="I35" s="25">
        <f t="shared" si="10"/>
        <v>4757473</v>
      </c>
      <c r="J35" s="24">
        <f t="shared" si="10"/>
        <v>5838297.5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</sheetData>
  <printOptions horizontalCentered="1" verticalCentered="1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headerFooter>
    <oddHeader>&amp;C&amp;"Comic Sans MS,Fett"Gehaltstabellen von 01.01.1996 bis 30.06.1996 / Tabelle stipendiali dal 01.01.1996 al 30.06.1996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topLeftCell="B1" zoomScaleNormal="100" workbookViewId="0">
      <selection activeCell="B1" sqref="B1"/>
    </sheetView>
  </sheetViews>
  <sheetFormatPr baseColWidth="10" defaultColWidth="9.140625" defaultRowHeight="12.75" x14ac:dyDescent="0.2"/>
  <cols>
    <col min="1" max="1" width="0" hidden="1"/>
    <col min="2" max="2" width="23.42578125"/>
    <col min="3" max="3" width="12.7109375"/>
    <col min="4" max="11" width="14.42578125"/>
    <col min="12" max="256" width="11.28515625"/>
    <col min="257" max="1025" width="11.5703125"/>
  </cols>
  <sheetData>
    <row r="1" spans="1:256" x14ac:dyDescent="0.2">
      <c r="A1" s="1"/>
      <c r="B1" s="1"/>
      <c r="C1" s="2"/>
      <c r="D1" s="3"/>
      <c r="E1" s="2"/>
      <c r="F1" s="3"/>
      <c r="G1" s="2"/>
      <c r="H1" s="3"/>
      <c r="I1" s="2"/>
      <c r="J1" s="3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x14ac:dyDescent="0.25">
      <c r="A2" s="5"/>
      <c r="B2" s="6">
        <v>1936.27</v>
      </c>
      <c r="C2" s="9" t="s">
        <v>44</v>
      </c>
      <c r="D2" s="40" t="s">
        <v>45</v>
      </c>
      <c r="E2" s="9" t="s">
        <v>46</v>
      </c>
      <c r="F2" s="40" t="s">
        <v>47</v>
      </c>
      <c r="G2" s="9" t="s">
        <v>48</v>
      </c>
      <c r="H2" s="40" t="s">
        <v>49</v>
      </c>
      <c r="I2" s="9" t="s">
        <v>50</v>
      </c>
      <c r="J2" s="40" t="s">
        <v>51</v>
      </c>
      <c r="K2" s="9" t="s">
        <v>52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" x14ac:dyDescent="0.2">
      <c r="A3" s="12"/>
      <c r="B3" s="13" t="s">
        <v>10</v>
      </c>
      <c r="C3" s="14"/>
      <c r="D3" s="15"/>
      <c r="E3" s="14"/>
      <c r="F3" s="15"/>
      <c r="G3" s="14"/>
      <c r="H3" s="15"/>
      <c r="I3" s="14"/>
      <c r="J3" s="15"/>
      <c r="K3" s="1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spans="1:256" ht="15.75" x14ac:dyDescent="0.25">
      <c r="A4" s="17"/>
      <c r="B4" s="18" t="s">
        <v>11</v>
      </c>
      <c r="C4" s="47">
        <f>797091/B2</f>
        <v>411.66314615213787</v>
      </c>
      <c r="D4" s="48">
        <f>980792/B2</f>
        <v>506.53679497177563</v>
      </c>
      <c r="E4" s="47">
        <f>1143377/B2</f>
        <v>590.50493991023984</v>
      </c>
      <c r="F4" s="48">
        <f>1150768/B2</f>
        <v>594.32207285141021</v>
      </c>
      <c r="G4" s="47">
        <f>1295405/B2</f>
        <v>669.02084936501626</v>
      </c>
      <c r="H4" s="48">
        <f>1445322/B2</f>
        <v>746.44651830581483</v>
      </c>
      <c r="I4" s="47">
        <f>1714538/B2</f>
        <v>885.48497885108998</v>
      </c>
      <c r="J4" s="48">
        <f>2094608/B2</f>
        <v>1081.774752488031</v>
      </c>
      <c r="K4" s="47">
        <f>2502128/B2</f>
        <v>1292.2412680049786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15" x14ac:dyDescent="0.2">
      <c r="A5" s="22">
        <v>1</v>
      </c>
      <c r="B5" s="23" t="s">
        <v>53</v>
      </c>
      <c r="C5" s="50">
        <f>($C$4*0.06*A5)+$C$4</f>
        <v>436.36293492126612</v>
      </c>
      <c r="D5" s="51">
        <f>($D$4*0.06*A5)+$D$4</f>
        <v>536.92900267008213</v>
      </c>
      <c r="E5" s="50">
        <f>($E$4*0.06*A5)+$E$4</f>
        <v>625.93523630485424</v>
      </c>
      <c r="F5" s="51">
        <f>($F$4*0.06*A5)+$F$4</f>
        <v>629.98139722249482</v>
      </c>
      <c r="G5" s="50">
        <f>($G$4*0.06*A5)+$G$4</f>
        <v>709.1621003269172</v>
      </c>
      <c r="H5" s="51">
        <f>($H$4*0.06*A5)+$H$4</f>
        <v>791.23330940416372</v>
      </c>
      <c r="I5" s="50">
        <f>($I$4*0.06*A5)+$I$4</f>
        <v>938.61407758215535</v>
      </c>
      <c r="J5" s="51">
        <f>($J$4*0.06*A5)+$J$4</f>
        <v>1146.681237637313</v>
      </c>
      <c r="K5" s="50">
        <f>($K$4*0.06*A5)+$K$4</f>
        <v>1369.7757440852772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15" x14ac:dyDescent="0.2">
      <c r="A6" s="22">
        <v>2</v>
      </c>
      <c r="B6" s="23" t="s">
        <v>54</v>
      </c>
      <c r="C6" s="50">
        <f>($C$4*0.06*A6)+$C$4</f>
        <v>461.06272369039442</v>
      </c>
      <c r="D6" s="51">
        <f>($D$4*0.06*A6)+$D$4</f>
        <v>567.32121036838873</v>
      </c>
      <c r="E6" s="50">
        <f>($E$4*0.06*A6)+$E$4</f>
        <v>661.36553269946864</v>
      </c>
      <c r="F6" s="51">
        <f>($F$4*0.06*A6)+$F$4</f>
        <v>665.64072159357943</v>
      </c>
      <c r="G6" s="50">
        <f>($G$4*0.06*A6)+$G$4</f>
        <v>749.30335128881825</v>
      </c>
      <c r="H6" s="51">
        <f>($H$4*0.06*A6)+$H$4</f>
        <v>836.02010050251261</v>
      </c>
      <c r="I6" s="50">
        <f>($I$4*0.06*A6)+$I$4</f>
        <v>991.74317631322083</v>
      </c>
      <c r="J6" s="51">
        <f>($J$4*0.06*A6)+$J$4</f>
        <v>1211.5877227865947</v>
      </c>
      <c r="K6" s="50">
        <f>($K$4*0.06*A6)+$K$4</f>
        <v>1447.3102201655761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15" x14ac:dyDescent="0.2">
      <c r="A7" s="22">
        <v>3</v>
      </c>
      <c r="B7" s="23" t="s">
        <v>55</v>
      </c>
      <c r="C7" s="50">
        <f>($C$4*0.06*A7)+$C$4</f>
        <v>485.76251245952267</v>
      </c>
      <c r="D7" s="51">
        <f>($D$4*0.06*A7)+$D$4</f>
        <v>597.71341806669523</v>
      </c>
      <c r="E7" s="50">
        <f>($E$4*0.06*A7)+$E$4</f>
        <v>696.79582909408305</v>
      </c>
      <c r="F7" s="51">
        <f>($F$4*0.06*A7)+$F$4</f>
        <v>701.30004596466404</v>
      </c>
      <c r="G7" s="50">
        <f>($G$4*0.06*A7)+$G$4</f>
        <v>789.44460225071919</v>
      </c>
      <c r="H7" s="51">
        <f>($H$4*0.06*A7)+$H$4</f>
        <v>880.80689160086149</v>
      </c>
      <c r="I7" s="50">
        <f>($I$4*0.06*A7)+$I$4</f>
        <v>1044.8722750442862</v>
      </c>
      <c r="J7" s="51">
        <f>($J$4*0.06*A7)+$J$4</f>
        <v>1276.4942079358766</v>
      </c>
      <c r="K7" s="50">
        <f>($K$4*0.06*A7)+$K$4</f>
        <v>1524.8446962458747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ht="15" x14ac:dyDescent="0.2">
      <c r="A8" s="22"/>
      <c r="B8" s="22"/>
      <c r="C8" s="37"/>
      <c r="D8" s="38"/>
      <c r="E8" s="37"/>
      <c r="F8" s="38"/>
      <c r="G8" s="37"/>
      <c r="H8" s="38"/>
      <c r="I8" s="37"/>
      <c r="J8" s="38"/>
      <c r="K8" s="37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ht="15" x14ac:dyDescent="0.2">
      <c r="A9" s="12"/>
      <c r="B9" s="12" t="s">
        <v>56</v>
      </c>
      <c r="C9" s="44"/>
      <c r="D9" s="45"/>
      <c r="E9" s="44"/>
      <c r="F9" s="45"/>
      <c r="G9" s="44"/>
      <c r="H9" s="45"/>
      <c r="I9" s="44"/>
      <c r="J9" s="45"/>
      <c r="K9" s="44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spans="1:256" ht="15.75" x14ac:dyDescent="0.25">
      <c r="A10" s="17"/>
      <c r="B10" s="18" t="s">
        <v>11</v>
      </c>
      <c r="C10" s="47">
        <f>1019855/B2</f>
        <v>526.7111508209083</v>
      </c>
      <c r="D10" s="48">
        <f>1256343/B2</f>
        <v>648.84700997278276</v>
      </c>
      <c r="E10" s="47">
        <f>1484385/B2</f>
        <v>766.62087415494739</v>
      </c>
      <c r="F10" s="48">
        <f>1493886/B2</f>
        <v>771.52773115319667</v>
      </c>
      <c r="G10" s="47">
        <f>1680754/B2</f>
        <v>868.03699897225079</v>
      </c>
      <c r="H10" s="48">
        <f>1910908/B2</f>
        <v>986.90162012529242</v>
      </c>
      <c r="I10" s="47">
        <f>2265640/B2</f>
        <v>1170.1054088531041</v>
      </c>
      <c r="J10" s="48">
        <f>2718556/B2</f>
        <v>1404.0170017611181</v>
      </c>
      <c r="K10" s="47">
        <f>3336170/B2</f>
        <v>1722.9880130353722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ht="15" x14ac:dyDescent="0.2">
      <c r="A11" s="22">
        <v>1</v>
      </c>
      <c r="B11" s="23" t="s">
        <v>57</v>
      </c>
      <c r="C11" s="50">
        <f t="shared" ref="C11:C35" si="0">($C$10*0.03*A11)+$C$10</f>
        <v>542.51248534553554</v>
      </c>
      <c r="D11" s="51">
        <f t="shared" ref="D11:D35" si="1">($D$10*0.03*A11)+$D$10</f>
        <v>668.31242027196629</v>
      </c>
      <c r="E11" s="50">
        <f t="shared" ref="E11:E35" si="2">($E$10*0.03*A11)+$E$10</f>
        <v>789.61950037959582</v>
      </c>
      <c r="F11" s="51">
        <f t="shared" ref="F11:F35" si="3">($F$10*0.03*A11)+$F$10</f>
        <v>794.67356308779256</v>
      </c>
      <c r="G11" s="50">
        <f t="shared" ref="G11:G35" si="4">($G$10*0.03*A11)+$G$10</f>
        <v>894.07810894141835</v>
      </c>
      <c r="H11" s="51">
        <f t="shared" ref="H11:H35" si="5">($H$10*0.03*A11)+$H$10</f>
        <v>1016.5086687290512</v>
      </c>
      <c r="I11" s="50">
        <f t="shared" ref="I11:I35" si="6">($I$10*0.03*A11)+$I$10</f>
        <v>1205.2085711186971</v>
      </c>
      <c r="J11" s="51">
        <f t="shared" ref="J11:J35" si="7">($J$10*0.03*A11)+$J$10</f>
        <v>1446.1375118139517</v>
      </c>
      <c r="K11" s="50">
        <f t="shared" ref="K11:K35" si="8">($K$10*0.03*A11)+$K$10</f>
        <v>1774.6776534264334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" x14ac:dyDescent="0.2">
      <c r="A12" s="22">
        <v>2</v>
      </c>
      <c r="B12" s="23" t="s">
        <v>58</v>
      </c>
      <c r="C12" s="50">
        <f t="shared" si="0"/>
        <v>558.31381987016277</v>
      </c>
      <c r="D12" s="51">
        <f t="shared" si="1"/>
        <v>687.77783057114971</v>
      </c>
      <c r="E12" s="50">
        <f t="shared" si="2"/>
        <v>812.61812660424425</v>
      </c>
      <c r="F12" s="51">
        <f t="shared" si="3"/>
        <v>817.81939502238845</v>
      </c>
      <c r="G12" s="50">
        <f t="shared" si="4"/>
        <v>920.1192189105858</v>
      </c>
      <c r="H12" s="51">
        <f t="shared" si="5"/>
        <v>1046.1157173328099</v>
      </c>
      <c r="I12" s="50">
        <f t="shared" si="6"/>
        <v>1240.3117333842904</v>
      </c>
      <c r="J12" s="51">
        <f t="shared" si="7"/>
        <v>1488.2580218667852</v>
      </c>
      <c r="K12" s="50">
        <f t="shared" si="8"/>
        <v>1826.3672938174946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ht="15" x14ac:dyDescent="0.2">
      <c r="A13" s="22">
        <v>3</v>
      </c>
      <c r="B13" s="23" t="s">
        <v>59</v>
      </c>
      <c r="C13" s="50">
        <f t="shared" si="0"/>
        <v>574.11515439479001</v>
      </c>
      <c r="D13" s="51">
        <f t="shared" si="1"/>
        <v>707.24324087033324</v>
      </c>
      <c r="E13" s="50">
        <f t="shared" si="2"/>
        <v>835.61675282889269</v>
      </c>
      <c r="F13" s="51">
        <f t="shared" si="3"/>
        <v>840.96522695698434</v>
      </c>
      <c r="G13" s="50">
        <f t="shared" si="4"/>
        <v>946.16032887975337</v>
      </c>
      <c r="H13" s="51">
        <f t="shared" si="5"/>
        <v>1075.7227659365687</v>
      </c>
      <c r="I13" s="50">
        <f t="shared" si="6"/>
        <v>1275.4148956498834</v>
      </c>
      <c r="J13" s="51">
        <f t="shared" si="7"/>
        <v>1530.3785319196186</v>
      </c>
      <c r="K13" s="50">
        <f t="shared" si="8"/>
        <v>1878.0569342085557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15" x14ac:dyDescent="0.2">
      <c r="A14" s="22">
        <v>4</v>
      </c>
      <c r="B14" s="23" t="s">
        <v>60</v>
      </c>
      <c r="C14" s="50">
        <f t="shared" si="0"/>
        <v>589.91648891941725</v>
      </c>
      <c r="D14" s="51">
        <f t="shared" si="1"/>
        <v>726.70865116951666</v>
      </c>
      <c r="E14" s="50">
        <f t="shared" si="2"/>
        <v>858.61537905354112</v>
      </c>
      <c r="F14" s="51">
        <f t="shared" si="3"/>
        <v>864.11105889158023</v>
      </c>
      <c r="G14" s="50">
        <f t="shared" si="4"/>
        <v>972.20143884892082</v>
      </c>
      <c r="H14" s="51">
        <f t="shared" si="5"/>
        <v>1105.3298145403276</v>
      </c>
      <c r="I14" s="50">
        <f t="shared" si="6"/>
        <v>1310.5180579154767</v>
      </c>
      <c r="J14" s="51">
        <f t="shared" si="7"/>
        <v>1572.4990419724522</v>
      </c>
      <c r="K14" s="50">
        <f t="shared" si="8"/>
        <v>1929.7465745996169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15" x14ac:dyDescent="0.2">
      <c r="A15" s="22">
        <v>5</v>
      </c>
      <c r="B15" s="23" t="s">
        <v>61</v>
      </c>
      <c r="C15" s="50">
        <f t="shared" si="0"/>
        <v>605.7178234440446</v>
      </c>
      <c r="D15" s="51">
        <f t="shared" si="1"/>
        <v>746.17406146870019</v>
      </c>
      <c r="E15" s="50">
        <f t="shared" si="2"/>
        <v>881.61400527818955</v>
      </c>
      <c r="F15" s="51">
        <f t="shared" si="3"/>
        <v>887.25689082617623</v>
      </c>
      <c r="G15" s="50">
        <f t="shared" si="4"/>
        <v>998.24254881808838</v>
      </c>
      <c r="H15" s="51">
        <f t="shared" si="5"/>
        <v>1134.9368631440861</v>
      </c>
      <c r="I15" s="50">
        <f t="shared" si="6"/>
        <v>1345.6212201810697</v>
      </c>
      <c r="J15" s="51">
        <f t="shared" si="7"/>
        <v>1614.6195520252859</v>
      </c>
      <c r="K15" s="50">
        <f t="shared" si="8"/>
        <v>1981.4362149906781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15" x14ac:dyDescent="0.2">
      <c r="A16" s="22">
        <v>6</v>
      </c>
      <c r="B16" s="23" t="s">
        <v>62</v>
      </c>
      <c r="C16" s="50">
        <f t="shared" si="0"/>
        <v>621.51915796867183</v>
      </c>
      <c r="D16" s="51">
        <f t="shared" si="1"/>
        <v>765.63947176788361</v>
      </c>
      <c r="E16" s="50">
        <f t="shared" si="2"/>
        <v>904.61263150283798</v>
      </c>
      <c r="F16" s="51">
        <f t="shared" si="3"/>
        <v>910.40272276077212</v>
      </c>
      <c r="G16" s="50">
        <f t="shared" si="4"/>
        <v>1024.2836587872559</v>
      </c>
      <c r="H16" s="51">
        <f t="shared" si="5"/>
        <v>1164.543911747845</v>
      </c>
      <c r="I16" s="50">
        <f t="shared" si="6"/>
        <v>1380.7243824466627</v>
      </c>
      <c r="J16" s="51">
        <f t="shared" si="7"/>
        <v>1656.7400620781193</v>
      </c>
      <c r="K16" s="50">
        <f t="shared" si="8"/>
        <v>2033.1258553817393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15" x14ac:dyDescent="0.2">
      <c r="A17" s="22">
        <v>7</v>
      </c>
      <c r="B17" s="23" t="s">
        <v>63</v>
      </c>
      <c r="C17" s="50">
        <f t="shared" si="0"/>
        <v>637.32049249329907</v>
      </c>
      <c r="D17" s="51">
        <f t="shared" si="1"/>
        <v>785.10488206706714</v>
      </c>
      <c r="E17" s="50">
        <f t="shared" si="2"/>
        <v>927.6112577274863</v>
      </c>
      <c r="F17" s="51">
        <f t="shared" si="3"/>
        <v>933.54855469536801</v>
      </c>
      <c r="G17" s="50">
        <f t="shared" si="4"/>
        <v>1050.3247687564235</v>
      </c>
      <c r="H17" s="51">
        <f t="shared" si="5"/>
        <v>1194.1509603516038</v>
      </c>
      <c r="I17" s="50">
        <f t="shared" si="6"/>
        <v>1415.827544712256</v>
      </c>
      <c r="J17" s="51">
        <f t="shared" si="7"/>
        <v>1698.8605721309527</v>
      </c>
      <c r="K17" s="50">
        <f t="shared" si="8"/>
        <v>2084.8154957728002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15" x14ac:dyDescent="0.2">
      <c r="A18" s="22">
        <v>8</v>
      </c>
      <c r="B18" s="23" t="s">
        <v>64</v>
      </c>
      <c r="C18" s="50">
        <f t="shared" si="0"/>
        <v>653.12182701792631</v>
      </c>
      <c r="D18" s="51">
        <f t="shared" si="1"/>
        <v>804.57029236625067</v>
      </c>
      <c r="E18" s="50">
        <f t="shared" si="2"/>
        <v>950.60988395213474</v>
      </c>
      <c r="F18" s="51">
        <f t="shared" si="3"/>
        <v>956.6943866299639</v>
      </c>
      <c r="G18" s="50">
        <f t="shared" si="4"/>
        <v>1076.3658787255908</v>
      </c>
      <c r="H18" s="51">
        <f t="shared" si="5"/>
        <v>1223.7580089553626</v>
      </c>
      <c r="I18" s="50">
        <f t="shared" si="6"/>
        <v>1450.930706977849</v>
      </c>
      <c r="J18" s="51">
        <f t="shared" si="7"/>
        <v>1740.9810821837864</v>
      </c>
      <c r="K18" s="50">
        <f t="shared" si="8"/>
        <v>2136.5051361638616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15" x14ac:dyDescent="0.2">
      <c r="A19" s="22">
        <v>9</v>
      </c>
      <c r="B19" s="23" t="s">
        <v>65</v>
      </c>
      <c r="C19" s="50">
        <f t="shared" si="0"/>
        <v>668.92316154255354</v>
      </c>
      <c r="D19" s="51">
        <f t="shared" si="1"/>
        <v>824.03570266543409</v>
      </c>
      <c r="E19" s="50">
        <f t="shared" si="2"/>
        <v>973.60851017678317</v>
      </c>
      <c r="F19" s="51">
        <f t="shared" si="3"/>
        <v>979.84021856455979</v>
      </c>
      <c r="G19" s="50">
        <f t="shared" si="4"/>
        <v>1102.4069886947584</v>
      </c>
      <c r="H19" s="51">
        <f t="shared" si="5"/>
        <v>1253.3650575591214</v>
      </c>
      <c r="I19" s="50">
        <f t="shared" si="6"/>
        <v>1486.0338692434423</v>
      </c>
      <c r="J19" s="51">
        <f t="shared" si="7"/>
        <v>1783.10159223662</v>
      </c>
      <c r="K19" s="50">
        <f t="shared" si="8"/>
        <v>2188.1947765549226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15" x14ac:dyDescent="0.2">
      <c r="A20" s="22">
        <v>10</v>
      </c>
      <c r="B20" s="23" t="s">
        <v>66</v>
      </c>
      <c r="C20" s="50">
        <f t="shared" si="0"/>
        <v>684.72449606718078</v>
      </c>
      <c r="D20" s="51">
        <f t="shared" si="1"/>
        <v>843.5011129646175</v>
      </c>
      <c r="E20" s="50">
        <f t="shared" si="2"/>
        <v>996.6071364014316</v>
      </c>
      <c r="F20" s="51">
        <f t="shared" si="3"/>
        <v>1002.9860504991557</v>
      </c>
      <c r="G20" s="50">
        <f t="shared" si="4"/>
        <v>1128.448098663926</v>
      </c>
      <c r="H20" s="51">
        <f t="shared" si="5"/>
        <v>1282.9721061628802</v>
      </c>
      <c r="I20" s="50">
        <f t="shared" si="6"/>
        <v>1521.1370315090353</v>
      </c>
      <c r="J20" s="51">
        <f t="shared" si="7"/>
        <v>1825.2221022894535</v>
      </c>
      <c r="K20" s="50">
        <f t="shared" si="8"/>
        <v>2239.884416945984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15" x14ac:dyDescent="0.2">
      <c r="A21" s="22">
        <v>11</v>
      </c>
      <c r="B21" s="23" t="s">
        <v>67</v>
      </c>
      <c r="C21" s="50">
        <f t="shared" si="0"/>
        <v>700.52583059180802</v>
      </c>
      <c r="D21" s="51">
        <f t="shared" si="1"/>
        <v>862.96652326380104</v>
      </c>
      <c r="E21" s="50">
        <f t="shared" si="2"/>
        <v>1019.60576262608</v>
      </c>
      <c r="F21" s="51">
        <f t="shared" si="3"/>
        <v>1026.1318824337516</v>
      </c>
      <c r="G21" s="50">
        <f t="shared" si="4"/>
        <v>1154.4892086330935</v>
      </c>
      <c r="H21" s="51">
        <f t="shared" si="5"/>
        <v>1312.579154766639</v>
      </c>
      <c r="I21" s="50">
        <f t="shared" si="6"/>
        <v>1556.2401937746286</v>
      </c>
      <c r="J21" s="51">
        <f t="shared" si="7"/>
        <v>1867.3426123422869</v>
      </c>
      <c r="K21" s="50">
        <f t="shared" si="8"/>
        <v>2291.5740573370449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15" x14ac:dyDescent="0.2">
      <c r="A22" s="22">
        <v>12</v>
      </c>
      <c r="B22" s="23" t="s">
        <v>68</v>
      </c>
      <c r="C22" s="50">
        <f t="shared" si="0"/>
        <v>716.32716511643525</v>
      </c>
      <c r="D22" s="51">
        <f t="shared" si="1"/>
        <v>882.43193356298457</v>
      </c>
      <c r="E22" s="50">
        <f t="shared" si="2"/>
        <v>1042.6043888507284</v>
      </c>
      <c r="F22" s="51">
        <f t="shared" si="3"/>
        <v>1049.2777143683475</v>
      </c>
      <c r="G22" s="50">
        <f t="shared" si="4"/>
        <v>1180.5303186022611</v>
      </c>
      <c r="H22" s="51">
        <f t="shared" si="5"/>
        <v>1342.1862033703976</v>
      </c>
      <c r="I22" s="50">
        <f t="shared" si="6"/>
        <v>1591.3433560402216</v>
      </c>
      <c r="J22" s="51">
        <f t="shared" si="7"/>
        <v>1909.4631223951205</v>
      </c>
      <c r="K22" s="50">
        <f t="shared" si="8"/>
        <v>2343.2636977281063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15" x14ac:dyDescent="0.2">
      <c r="A23" s="22">
        <v>13</v>
      </c>
      <c r="B23" s="23" t="s">
        <v>69</v>
      </c>
      <c r="C23" s="50">
        <f t="shared" si="0"/>
        <v>732.12849964106249</v>
      </c>
      <c r="D23" s="51">
        <f t="shared" si="1"/>
        <v>901.89734386216799</v>
      </c>
      <c r="E23" s="50">
        <f t="shared" si="2"/>
        <v>1065.6030150753768</v>
      </c>
      <c r="F23" s="51">
        <f t="shared" si="3"/>
        <v>1072.4235463029434</v>
      </c>
      <c r="G23" s="50">
        <f t="shared" si="4"/>
        <v>1206.5714285714284</v>
      </c>
      <c r="H23" s="51">
        <f t="shared" si="5"/>
        <v>1371.7932519741564</v>
      </c>
      <c r="I23" s="50">
        <f t="shared" si="6"/>
        <v>1626.4465183058146</v>
      </c>
      <c r="J23" s="51">
        <f t="shared" si="7"/>
        <v>1951.5836324479542</v>
      </c>
      <c r="K23" s="50">
        <f t="shared" si="8"/>
        <v>2394.9533381191673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15" x14ac:dyDescent="0.2">
      <c r="A24" s="22">
        <v>14</v>
      </c>
      <c r="B24" s="23" t="s">
        <v>70</v>
      </c>
      <c r="C24" s="50">
        <f t="shared" si="0"/>
        <v>747.92983416568973</v>
      </c>
      <c r="D24" s="51">
        <f t="shared" si="1"/>
        <v>921.36275416135152</v>
      </c>
      <c r="E24" s="50">
        <f t="shared" si="2"/>
        <v>1088.6016413000252</v>
      </c>
      <c r="F24" s="51">
        <f t="shared" si="3"/>
        <v>1095.5693782375392</v>
      </c>
      <c r="G24" s="50">
        <f t="shared" si="4"/>
        <v>1232.6125385405962</v>
      </c>
      <c r="H24" s="51">
        <f t="shared" si="5"/>
        <v>1401.4003005779152</v>
      </c>
      <c r="I24" s="50">
        <f t="shared" si="6"/>
        <v>1661.5496805714079</v>
      </c>
      <c r="J24" s="51">
        <f t="shared" si="7"/>
        <v>1993.7041425007876</v>
      </c>
      <c r="K24" s="50">
        <f t="shared" si="8"/>
        <v>2446.6429785102282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5" x14ac:dyDescent="0.2">
      <c r="A25" s="22">
        <v>15</v>
      </c>
      <c r="B25" s="23" t="s">
        <v>71</v>
      </c>
      <c r="C25" s="50">
        <f t="shared" si="0"/>
        <v>763.73116869031708</v>
      </c>
      <c r="D25" s="51">
        <f t="shared" si="1"/>
        <v>940.82816446053494</v>
      </c>
      <c r="E25" s="50">
        <f t="shared" si="2"/>
        <v>1111.6002675246737</v>
      </c>
      <c r="F25" s="51">
        <f t="shared" si="3"/>
        <v>1118.7152101721351</v>
      </c>
      <c r="G25" s="50">
        <f t="shared" si="4"/>
        <v>1258.6536485097636</v>
      </c>
      <c r="H25" s="51">
        <f t="shared" si="5"/>
        <v>1431.007349181674</v>
      </c>
      <c r="I25" s="50">
        <f t="shared" si="6"/>
        <v>1696.6528428370009</v>
      </c>
      <c r="J25" s="51">
        <f t="shared" si="7"/>
        <v>2035.824652553621</v>
      </c>
      <c r="K25" s="50">
        <f t="shared" si="8"/>
        <v>2498.3326189012896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15" x14ac:dyDescent="0.2">
      <c r="A26" s="22">
        <v>16</v>
      </c>
      <c r="B26" s="23" t="s">
        <v>72</v>
      </c>
      <c r="C26" s="50">
        <f t="shared" si="0"/>
        <v>779.53250321494431</v>
      </c>
      <c r="D26" s="51">
        <f t="shared" si="1"/>
        <v>960.29357475971847</v>
      </c>
      <c r="E26" s="50">
        <f t="shared" si="2"/>
        <v>1134.5988937493221</v>
      </c>
      <c r="F26" s="51">
        <f t="shared" si="3"/>
        <v>1141.861042106731</v>
      </c>
      <c r="G26" s="50">
        <f t="shared" si="4"/>
        <v>1284.6947584789311</v>
      </c>
      <c r="H26" s="51">
        <f t="shared" si="5"/>
        <v>1460.6143977854326</v>
      </c>
      <c r="I26" s="50">
        <f t="shared" si="6"/>
        <v>1731.7560051025939</v>
      </c>
      <c r="J26" s="51">
        <f t="shared" si="7"/>
        <v>2077.9451626064547</v>
      </c>
      <c r="K26" s="50">
        <f t="shared" si="8"/>
        <v>2550.022259292351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15" x14ac:dyDescent="0.2">
      <c r="A27" s="22">
        <v>17</v>
      </c>
      <c r="B27" s="23" t="s">
        <v>73</v>
      </c>
      <c r="C27" s="50">
        <f t="shared" si="0"/>
        <v>795.33383773957155</v>
      </c>
      <c r="D27" s="51">
        <f t="shared" si="1"/>
        <v>979.758985058902</v>
      </c>
      <c r="E27" s="50">
        <f t="shared" si="2"/>
        <v>1157.5975199739705</v>
      </c>
      <c r="F27" s="51">
        <f t="shared" si="3"/>
        <v>1165.0068740413269</v>
      </c>
      <c r="G27" s="50">
        <f t="shared" si="4"/>
        <v>1310.7358684480987</v>
      </c>
      <c r="H27" s="51">
        <f t="shared" si="5"/>
        <v>1490.2214463891914</v>
      </c>
      <c r="I27" s="50">
        <f t="shared" si="6"/>
        <v>1766.8591673681872</v>
      </c>
      <c r="J27" s="51">
        <f t="shared" si="7"/>
        <v>2120.0656726592883</v>
      </c>
      <c r="K27" s="50">
        <f t="shared" si="8"/>
        <v>2601.711899683412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15" x14ac:dyDescent="0.2">
      <c r="A28" s="22">
        <v>18</v>
      </c>
      <c r="B28" s="23" t="s">
        <v>74</v>
      </c>
      <c r="C28" s="50">
        <f t="shared" si="0"/>
        <v>811.13517226419879</v>
      </c>
      <c r="D28" s="51">
        <f t="shared" si="1"/>
        <v>999.22439535808542</v>
      </c>
      <c r="E28" s="50">
        <f t="shared" si="2"/>
        <v>1180.596146198619</v>
      </c>
      <c r="F28" s="51">
        <f t="shared" si="3"/>
        <v>1188.1527059759228</v>
      </c>
      <c r="G28" s="50">
        <f t="shared" si="4"/>
        <v>1336.776978417266</v>
      </c>
      <c r="H28" s="51">
        <f t="shared" si="5"/>
        <v>1519.8284949929503</v>
      </c>
      <c r="I28" s="50">
        <f t="shared" si="6"/>
        <v>1801.9623296337804</v>
      </c>
      <c r="J28" s="51">
        <f t="shared" si="7"/>
        <v>2162.186182712122</v>
      </c>
      <c r="K28" s="50">
        <f t="shared" si="8"/>
        <v>2653.4015400744729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5" x14ac:dyDescent="0.2">
      <c r="A29" s="22">
        <v>19</v>
      </c>
      <c r="B29" s="23" t="s">
        <v>75</v>
      </c>
      <c r="C29" s="50">
        <f t="shared" si="0"/>
        <v>826.93650678882602</v>
      </c>
      <c r="D29" s="51">
        <f t="shared" si="1"/>
        <v>1018.6898056572688</v>
      </c>
      <c r="E29" s="50">
        <f t="shared" si="2"/>
        <v>1203.5947724232674</v>
      </c>
      <c r="F29" s="51">
        <f t="shared" si="3"/>
        <v>1211.2985379105189</v>
      </c>
      <c r="G29" s="50">
        <f t="shared" si="4"/>
        <v>1362.8180883864338</v>
      </c>
      <c r="H29" s="51">
        <f t="shared" si="5"/>
        <v>1549.4355435967091</v>
      </c>
      <c r="I29" s="50">
        <f t="shared" si="6"/>
        <v>1837.0654918993732</v>
      </c>
      <c r="J29" s="51">
        <f t="shared" si="7"/>
        <v>2204.3066927649552</v>
      </c>
      <c r="K29" s="50">
        <f t="shared" si="8"/>
        <v>2705.0911804655343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15" x14ac:dyDescent="0.2">
      <c r="A30" s="22">
        <v>20</v>
      </c>
      <c r="B30" s="23" t="s">
        <v>76</v>
      </c>
      <c r="C30" s="50">
        <f t="shared" si="0"/>
        <v>842.73784131345326</v>
      </c>
      <c r="D30" s="51">
        <f t="shared" si="1"/>
        <v>1038.1552159564524</v>
      </c>
      <c r="E30" s="50">
        <f t="shared" si="2"/>
        <v>1226.5933986479158</v>
      </c>
      <c r="F30" s="51">
        <f t="shared" si="3"/>
        <v>1234.4443698451146</v>
      </c>
      <c r="G30" s="50">
        <f t="shared" si="4"/>
        <v>1388.8591983556012</v>
      </c>
      <c r="H30" s="51">
        <f t="shared" si="5"/>
        <v>1579.0425922004679</v>
      </c>
      <c r="I30" s="50">
        <f t="shared" si="6"/>
        <v>1872.1686541649665</v>
      </c>
      <c r="J30" s="51">
        <f t="shared" si="7"/>
        <v>2246.4272028177888</v>
      </c>
      <c r="K30" s="50">
        <f t="shared" si="8"/>
        <v>2756.7808208565957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15" x14ac:dyDescent="0.2">
      <c r="A31" s="22">
        <v>21</v>
      </c>
      <c r="B31" s="23" t="s">
        <v>77</v>
      </c>
      <c r="C31" s="50">
        <f t="shared" si="0"/>
        <v>858.53917583808061</v>
      </c>
      <c r="D31" s="51">
        <f t="shared" si="1"/>
        <v>1057.6206262556359</v>
      </c>
      <c r="E31" s="50">
        <f t="shared" si="2"/>
        <v>1249.5920248725643</v>
      </c>
      <c r="F31" s="51">
        <f t="shared" si="3"/>
        <v>1257.5902017797107</v>
      </c>
      <c r="G31" s="50">
        <f t="shared" si="4"/>
        <v>1414.9003083247687</v>
      </c>
      <c r="H31" s="51">
        <f t="shared" si="5"/>
        <v>1608.6496408042267</v>
      </c>
      <c r="I31" s="50">
        <f t="shared" si="6"/>
        <v>1907.2718164305597</v>
      </c>
      <c r="J31" s="51">
        <f t="shared" si="7"/>
        <v>2288.5477128706225</v>
      </c>
      <c r="K31" s="50">
        <f t="shared" si="8"/>
        <v>2808.4704612476567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15" x14ac:dyDescent="0.2">
      <c r="A32" s="22">
        <v>22</v>
      </c>
      <c r="B32" s="23" t="s">
        <v>78</v>
      </c>
      <c r="C32" s="50">
        <f t="shared" si="0"/>
        <v>874.34051036270785</v>
      </c>
      <c r="D32" s="51">
        <f t="shared" si="1"/>
        <v>1077.0860365548194</v>
      </c>
      <c r="E32" s="50">
        <f t="shared" si="2"/>
        <v>1272.5906510972127</v>
      </c>
      <c r="F32" s="51">
        <f t="shared" si="3"/>
        <v>1280.7360337143064</v>
      </c>
      <c r="G32" s="50">
        <f t="shared" si="4"/>
        <v>1440.9414182939363</v>
      </c>
      <c r="H32" s="51">
        <f t="shared" si="5"/>
        <v>1638.2566894079855</v>
      </c>
      <c r="I32" s="50">
        <f t="shared" si="6"/>
        <v>1942.3749786961528</v>
      </c>
      <c r="J32" s="51">
        <f t="shared" si="7"/>
        <v>2330.6682229234557</v>
      </c>
      <c r="K32" s="50">
        <f t="shared" si="8"/>
        <v>2860.1601016387176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ht="15" x14ac:dyDescent="0.2">
      <c r="A33" s="22">
        <v>23</v>
      </c>
      <c r="B33" s="23" t="s">
        <v>79</v>
      </c>
      <c r="C33" s="50">
        <f t="shared" si="0"/>
        <v>890.14184488733508</v>
      </c>
      <c r="D33" s="51">
        <f t="shared" si="1"/>
        <v>1096.5514468540027</v>
      </c>
      <c r="E33" s="50">
        <f t="shared" si="2"/>
        <v>1295.5892773218611</v>
      </c>
      <c r="F33" s="51">
        <f t="shared" si="3"/>
        <v>1303.8818656489025</v>
      </c>
      <c r="G33" s="50">
        <f t="shared" si="4"/>
        <v>1466.9825282631036</v>
      </c>
      <c r="H33" s="51">
        <f t="shared" si="5"/>
        <v>1667.8637380117441</v>
      </c>
      <c r="I33" s="50">
        <f t="shared" si="6"/>
        <v>1977.4781409617458</v>
      </c>
      <c r="J33" s="51">
        <f t="shared" si="7"/>
        <v>2372.7887329762893</v>
      </c>
      <c r="K33" s="50">
        <f t="shared" si="8"/>
        <v>2911.849742029779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ht="15" x14ac:dyDescent="0.2">
      <c r="A34" s="22">
        <v>24</v>
      </c>
      <c r="B34" s="23" t="s">
        <v>80</v>
      </c>
      <c r="C34" s="50">
        <f t="shared" si="0"/>
        <v>905.94317941196232</v>
      </c>
      <c r="D34" s="51">
        <f t="shared" si="1"/>
        <v>1116.0168571531863</v>
      </c>
      <c r="E34" s="50">
        <f t="shared" si="2"/>
        <v>1318.5879035465096</v>
      </c>
      <c r="F34" s="51">
        <f t="shared" si="3"/>
        <v>1327.0276975834981</v>
      </c>
      <c r="G34" s="50">
        <f t="shared" si="4"/>
        <v>1493.0236382322714</v>
      </c>
      <c r="H34" s="51">
        <f t="shared" si="5"/>
        <v>1697.4707866155029</v>
      </c>
      <c r="I34" s="50">
        <f t="shared" si="6"/>
        <v>2012.581303227339</v>
      </c>
      <c r="J34" s="51">
        <f t="shared" si="7"/>
        <v>2414.909243029123</v>
      </c>
      <c r="K34" s="50">
        <f t="shared" si="8"/>
        <v>2963.53938242084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ht="15" x14ac:dyDescent="0.2">
      <c r="A35" s="22">
        <v>25</v>
      </c>
      <c r="B35" s="23" t="s">
        <v>81</v>
      </c>
      <c r="C35" s="50">
        <f t="shared" si="0"/>
        <v>921.74451393658956</v>
      </c>
      <c r="D35" s="51">
        <f t="shared" si="1"/>
        <v>1135.4822674523698</v>
      </c>
      <c r="E35" s="50">
        <f t="shared" si="2"/>
        <v>1341.586529771158</v>
      </c>
      <c r="F35" s="51">
        <f t="shared" si="3"/>
        <v>1350.1735295180943</v>
      </c>
      <c r="G35" s="50">
        <f t="shared" si="4"/>
        <v>1519.0647482014388</v>
      </c>
      <c r="H35" s="51">
        <f t="shared" si="5"/>
        <v>1727.0778352192617</v>
      </c>
      <c r="I35" s="50">
        <f t="shared" si="6"/>
        <v>2047.6844654929321</v>
      </c>
      <c r="J35" s="51">
        <f t="shared" si="7"/>
        <v>2457.0297530819566</v>
      </c>
      <c r="K35" s="50">
        <f t="shared" si="8"/>
        <v>3015.2290228119009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</sheetData>
  <printOptions horizontalCentered="1" verticalCentered="1"/>
  <pageMargins left="0.39374999999999999" right="0.39374999999999999" top="0.78749999999999998" bottom="0.196527777777778" header="0.51180555555555496" footer="0.51180555555555496"/>
  <pageSetup paperSize="0" scale="0" firstPageNumber="0" orientation="portrait" usePrinterDefaults="0" horizontalDpi="0" verticalDpi="0" copies="0"/>
  <headerFooter>
    <oddHeader>&amp;C&amp;"Comic Sans MS,Fett"Gehaltstabellen von 01.01.1996 bis 30.06.1996 / Tabelle stipendiali dal 01.01.1996 al 30.06.1996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2</vt:i4>
      </vt:variant>
    </vt:vector>
  </HeadingPairs>
  <TitlesOfParts>
    <vt:vector size="32" baseType="lpstr">
      <vt:lpstr>01_07_1990 _Lire_</vt:lpstr>
      <vt:lpstr>01_10_1990 _Lire_</vt:lpstr>
      <vt:lpstr>01_01_1994_31_01_1994</vt:lpstr>
      <vt:lpstr>01_02_1994 _lire_</vt:lpstr>
      <vt:lpstr>01_02_1994 _euro_</vt:lpstr>
      <vt:lpstr>01_01_1995 _lire_</vt:lpstr>
      <vt:lpstr>01_01_1995 _euro_</vt:lpstr>
      <vt:lpstr>01_01_1996 _lire_</vt:lpstr>
      <vt:lpstr>01_01_1996 _euro_</vt:lpstr>
      <vt:lpstr>01_07_1996 _Lire_</vt:lpstr>
      <vt:lpstr>01_07_1996 _euro_</vt:lpstr>
      <vt:lpstr>01_11_1996 _lire_</vt:lpstr>
      <vt:lpstr>01_07_1997 _lire_</vt:lpstr>
      <vt:lpstr>01_07_1998 _lire_</vt:lpstr>
      <vt:lpstr>01_07_1999 _lire_</vt:lpstr>
      <vt:lpstr>01_02_2000 _Lire_</vt:lpstr>
      <vt:lpstr>01_02_2000 _Euro_</vt:lpstr>
      <vt:lpstr>01_07_2000 _Lire_</vt:lpstr>
      <vt:lpstr>01_07_2000 _Euro_</vt:lpstr>
      <vt:lpstr>01_07_2001 _Euro_</vt:lpstr>
      <vt:lpstr>01_07_2002 _Euro_</vt:lpstr>
      <vt:lpstr>01_02_2003</vt:lpstr>
      <vt:lpstr>01_07_2003</vt:lpstr>
      <vt:lpstr>01_07_2004</vt:lpstr>
      <vt:lpstr>01_07_2005</vt:lpstr>
      <vt:lpstr>01_07_2006</vt:lpstr>
      <vt:lpstr>01_07_2007</vt:lpstr>
      <vt:lpstr>01_07_2008</vt:lpstr>
      <vt:lpstr>01_07_2009</vt:lpstr>
      <vt:lpstr>01_04_2010</vt:lpstr>
      <vt:lpstr>'01_04_2010'!Druckbereich</vt:lpstr>
      <vt:lpstr>'01_07_2009'!Druckbereich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*</cp:lastModifiedBy>
  <cp:revision>4</cp:revision>
  <cp:lastPrinted>2011-11-22T19:25:43Z</cp:lastPrinted>
  <dcterms:created xsi:type="dcterms:W3CDTF">2001-03-20T10:55:51Z</dcterms:created>
  <dcterms:modified xsi:type="dcterms:W3CDTF">2016-11-21T08:35:39Z</dcterms:modified>
  <dc:language>de-DE</dc:language>
</cp:coreProperties>
</file>